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advnasvm-nas\FS_Home_2\01264879\Desktop\"/>
    </mc:Choice>
  </mc:AlternateContent>
  <xr:revisionPtr revIDLastSave="0" documentId="14_{D1C0562D-16D5-4A3B-9CEB-2435EEB72595}" xr6:coauthVersionLast="47" xr6:coauthVersionMax="47" xr10:uidLastSave="{00000000-0000-0000-0000-000000000000}"/>
  <bookViews>
    <workbookView xWindow="-120" yWindow="-120" windowWidth="24240" windowHeight="17520" firstSheet="1" activeTab="2" xr2:uid="{8800A6B9-B59E-42AA-8F6E-B071ED58B0AB}"/>
  </bookViews>
  <sheets>
    <sheet name="FWHM Centre horizontal 1" sheetId="10" r:id="rId1"/>
    <sheet name="FWHM mesurée" sheetId="6" r:id="rId2"/>
    <sheet name="Validation sur modèle de Gauss"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8" i="5" l="1"/>
  <c r="D2" i="5"/>
  <c r="C2" i="5"/>
  <c r="B2" i="5" s="1"/>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D40" i="10"/>
  <c r="N4" i="10" s="1"/>
  <c r="A40" i="10"/>
  <c r="A39" i="10"/>
  <c r="L4" i="10" s="1"/>
  <c r="G6" i="10"/>
  <c r="D6" i="10"/>
  <c r="H6" i="10" s="1"/>
  <c r="C6" i="10"/>
  <c r="M5" i="10"/>
  <c r="L5" i="10"/>
  <c r="H5" i="10"/>
  <c r="D5" i="10"/>
  <c r="F5" i="10" s="1"/>
  <c r="C5" i="10"/>
  <c r="G5" i="10" s="1"/>
  <c r="M4" i="10"/>
  <c r="G4" i="10"/>
  <c r="D4" i="10"/>
  <c r="F4" i="10" s="1"/>
  <c r="C4" i="10"/>
  <c r="H4" i="10" s="1"/>
  <c r="H3" i="10"/>
  <c r="G3" i="10"/>
  <c r="F3" i="10"/>
  <c r="E3" i="10"/>
  <c r="D3" i="10"/>
  <c r="C3" i="10"/>
  <c r="G2" i="10"/>
  <c r="G40" i="10" s="1"/>
  <c r="R5" i="10" s="1"/>
  <c r="P28" i="10" s="1"/>
  <c r="D2" i="10"/>
  <c r="H2" i="10" s="1"/>
  <c r="H40" i="10" s="1"/>
  <c r="R6" i="10" s="1"/>
  <c r="P29" i="10" s="1"/>
  <c r="C2" i="10"/>
  <c r="C40" i="10" s="1"/>
  <c r="R4" i="10" s="1"/>
  <c r="P27" i="10" s="1"/>
  <c r="C2" i="6"/>
  <c r="G2" i="6" s="1"/>
  <c r="D2" i="6"/>
  <c r="E2" i="6" s="1"/>
  <c r="C6" i="6"/>
  <c r="G6" i="6" s="1"/>
  <c r="D6" i="6"/>
  <c r="F6" i="6" s="1"/>
  <c r="A40" i="6"/>
  <c r="B18" i="5" l="1"/>
  <c r="E2" i="5"/>
  <c r="C37" i="5"/>
  <c r="E6" i="6"/>
  <c r="F2" i="6"/>
  <c r="H2" i="6"/>
  <c r="N14" i="10"/>
  <c r="N19" i="10" s="1"/>
  <c r="L6" i="10"/>
  <c r="E2" i="10"/>
  <c r="E6" i="10"/>
  <c r="F2" i="10"/>
  <c r="F40" i="10" s="1"/>
  <c r="N6" i="10" s="1"/>
  <c r="E5" i="10"/>
  <c r="F6" i="10"/>
  <c r="E4" i="10"/>
  <c r="H6" i="6"/>
  <c r="E40" i="10" l="1"/>
  <c r="M13" i="10"/>
  <c r="M18" i="10" s="1"/>
  <c r="N5" i="10" l="1"/>
  <c r="M6" i="10"/>
  <c r="N12" i="10" l="1"/>
  <c r="L19" i="10" s="1"/>
  <c r="L24" i="10" s="1"/>
  <c r="N13" i="10"/>
  <c r="M19" i="10" s="1"/>
  <c r="M24" i="10" s="1"/>
  <c r="M29" i="10" s="1"/>
  <c r="L13" i="10"/>
  <c r="M17" i="10" s="1"/>
  <c r="M22" i="10" s="1"/>
  <c r="L14" i="10"/>
  <c r="N17" i="10" s="1"/>
  <c r="N22" i="10" s="1"/>
  <c r="N27" i="10" s="1"/>
  <c r="M14" i="10"/>
  <c r="N18" i="10" s="1"/>
  <c r="L12" i="10"/>
  <c r="L17" i="10" s="1"/>
  <c r="M8" i="10"/>
  <c r="M12" i="10"/>
  <c r="L18" i="10" s="1"/>
  <c r="L23" i="10" s="1"/>
  <c r="M27" i="10" l="1"/>
  <c r="L22" i="10"/>
  <c r="L29" i="10"/>
  <c r="L28" i="10"/>
  <c r="N24" i="10"/>
  <c r="N29" i="10" s="1"/>
  <c r="M23" i="10"/>
  <c r="M28" i="10" s="1"/>
  <c r="N23" i="10"/>
  <c r="N28" i="10" s="1"/>
  <c r="Q23" i="10" l="1"/>
  <c r="R23" i="10"/>
  <c r="P22" i="10"/>
  <c r="L27" i="10"/>
  <c r="R27" i="10" s="1"/>
  <c r="N31" i="10" s="1"/>
  <c r="M41" i="10" s="1"/>
  <c r="R22" i="10"/>
  <c r="Q22" i="10"/>
  <c r="P23" i="10"/>
  <c r="R28" i="10"/>
  <c r="N32" i="10" s="1"/>
  <c r="Q24" i="10"/>
  <c r="R29" i="10"/>
  <c r="N33" i="10" s="1"/>
  <c r="M42" i="10" s="1"/>
  <c r="M45" i="10" s="1"/>
  <c r="P24" i="10"/>
  <c r="R24" i="10"/>
  <c r="J3" i="10" l="1"/>
  <c r="J4" i="10"/>
  <c r="J6" i="10"/>
  <c r="J2" i="10"/>
  <c r="M43" i="10"/>
  <c r="J5" i="10" s="1"/>
  <c r="C3" i="6" l="1"/>
  <c r="F18" i="5"/>
  <c r="H18" i="5" s="1"/>
  <c r="F2" i="5"/>
  <c r="G2" i="5" s="1"/>
  <c r="A19" i="5"/>
  <c r="E18" i="5"/>
  <c r="I18" i="5" s="1"/>
  <c r="A3" i="5"/>
  <c r="D3" i="5" l="1"/>
  <c r="B3" i="5" s="1"/>
  <c r="E3" i="5" s="1"/>
  <c r="I3" i="5" s="1"/>
  <c r="D19" i="5"/>
  <c r="B19" i="5" s="1"/>
  <c r="E19" i="5" s="1"/>
  <c r="I19" i="5" s="1"/>
  <c r="A20" i="5"/>
  <c r="J2" i="5"/>
  <c r="C4" i="6"/>
  <c r="G4" i="6" s="1"/>
  <c r="D4" i="6"/>
  <c r="F4" i="6" s="1"/>
  <c r="D3" i="6"/>
  <c r="H3" i="6" s="1"/>
  <c r="G3" i="6"/>
  <c r="D5" i="6"/>
  <c r="I2" i="5"/>
  <c r="J18" i="5"/>
  <c r="H2" i="5"/>
  <c r="F3" i="5"/>
  <c r="F19" i="5"/>
  <c r="G19" i="5" s="1"/>
  <c r="G18" i="5"/>
  <c r="A4" i="5"/>
  <c r="A21" i="5"/>
  <c r="D4" i="5" l="1"/>
  <c r="B4" i="5" s="1"/>
  <c r="E4" i="5" s="1"/>
  <c r="D21" i="5"/>
  <c r="B21" i="5" s="1"/>
  <c r="E21" i="5" s="1"/>
  <c r="D20" i="5"/>
  <c r="B20" i="5" s="1"/>
  <c r="E20" i="5" s="1"/>
  <c r="F20" i="5"/>
  <c r="J3" i="5"/>
  <c r="C5" i="6"/>
  <c r="H5" i="6" s="1"/>
  <c r="H4" i="6"/>
  <c r="E4" i="6"/>
  <c r="E3" i="6"/>
  <c r="F3" i="6"/>
  <c r="F5" i="6"/>
  <c r="E5" i="6"/>
  <c r="F21" i="5"/>
  <c r="G21" i="5" s="1"/>
  <c r="J19" i="5"/>
  <c r="H3" i="5"/>
  <c r="G3" i="5"/>
  <c r="H19" i="5"/>
  <c r="H21" i="5"/>
  <c r="A5" i="5"/>
  <c r="F4" i="5"/>
  <c r="A22" i="5"/>
  <c r="D22" i="5" l="1"/>
  <c r="B22" i="5" s="1"/>
  <c r="E22" i="5" s="1"/>
  <c r="D5" i="5"/>
  <c r="B5" i="5" s="1"/>
  <c r="E5" i="5" s="1"/>
  <c r="J20" i="5"/>
  <c r="J21" i="5"/>
  <c r="I20" i="5"/>
  <c r="G20" i="5"/>
  <c r="H20" i="5"/>
  <c r="G5" i="6"/>
  <c r="J4" i="5"/>
  <c r="I21" i="5"/>
  <c r="F22" i="5"/>
  <c r="G22" i="5" s="1"/>
  <c r="I4" i="5"/>
  <c r="H4" i="5"/>
  <c r="G4" i="5"/>
  <c r="F5" i="5"/>
  <c r="A6" i="5"/>
  <c r="A23" i="5"/>
  <c r="D23" i="5" l="1"/>
  <c r="B23" i="5" s="1"/>
  <c r="D6" i="5"/>
  <c r="B6" i="5" s="1"/>
  <c r="E6" i="5" s="1"/>
  <c r="J5" i="5"/>
  <c r="H22" i="5"/>
  <c r="E23" i="5"/>
  <c r="J22" i="5"/>
  <c r="I22" i="5"/>
  <c r="I5" i="5"/>
  <c r="F23" i="5"/>
  <c r="G23" i="5" s="1"/>
  <c r="F6" i="5"/>
  <c r="A7" i="5"/>
  <c r="G5" i="5"/>
  <c r="H5" i="5"/>
  <c r="A24" i="5"/>
  <c r="J6" i="5" l="1"/>
  <c r="D24" i="5"/>
  <c r="B24" i="5" s="1"/>
  <c r="D7" i="5"/>
  <c r="B7" i="5" s="1"/>
  <c r="E7" i="5" s="1"/>
  <c r="I7" i="5" s="1"/>
  <c r="J23" i="5"/>
  <c r="E24" i="5"/>
  <c r="I24" i="5" s="1"/>
  <c r="I6" i="5"/>
  <c r="I23" i="5"/>
  <c r="F24" i="5"/>
  <c r="H24" i="5" s="1"/>
  <c r="H23" i="5"/>
  <c r="G24" i="5"/>
  <c r="F7" i="5"/>
  <c r="A8" i="5"/>
  <c r="H6" i="5"/>
  <c r="G6" i="5"/>
  <c r="A25" i="5"/>
  <c r="D25" i="5" l="1"/>
  <c r="B25" i="5" s="1"/>
  <c r="E25" i="5" s="1"/>
  <c r="D8" i="5"/>
  <c r="B8" i="5" s="1"/>
  <c r="F25" i="5"/>
  <c r="H25" i="5" s="1"/>
  <c r="J24" i="5"/>
  <c r="J7" i="5"/>
  <c r="F8" i="5"/>
  <c r="A9" i="5"/>
  <c r="E8" i="5"/>
  <c r="I8" i="5" s="1"/>
  <c r="G7" i="5"/>
  <c r="H7" i="5"/>
  <c r="A26" i="5"/>
  <c r="D9" i="5" l="1"/>
  <c r="B9" i="5" s="1"/>
  <c r="E9" i="5" s="1"/>
  <c r="D26" i="5"/>
  <c r="B26" i="5" s="1"/>
  <c r="E26" i="5" s="1"/>
  <c r="J25" i="5"/>
  <c r="F26" i="5"/>
  <c r="H26" i="5" s="1"/>
  <c r="J8" i="5"/>
  <c r="G25" i="5"/>
  <c r="I25" i="5"/>
  <c r="F9" i="5"/>
  <c r="A10" i="5"/>
  <c r="G8" i="5"/>
  <c r="H8" i="5"/>
  <c r="A27" i="5"/>
  <c r="D10" i="5" l="1"/>
  <c r="B10" i="5" s="1"/>
  <c r="E10" i="5" s="1"/>
  <c r="D27" i="5"/>
  <c r="B27" i="5" s="1"/>
  <c r="E27" i="5" s="1"/>
  <c r="J26" i="5"/>
  <c r="J9" i="5"/>
  <c r="G26" i="5"/>
  <c r="F27" i="5"/>
  <c r="G27" i="5" s="1"/>
  <c r="I26" i="5"/>
  <c r="I9" i="5"/>
  <c r="F10" i="5"/>
  <c r="A11" i="5"/>
  <c r="H9" i="5"/>
  <c r="G9" i="5"/>
  <c r="A28" i="5"/>
  <c r="D28" i="5" l="1"/>
  <c r="B28" i="5" s="1"/>
  <c r="E28" i="5" s="1"/>
  <c r="I28" i="5" s="1"/>
  <c r="J10" i="5"/>
  <c r="D11" i="5"/>
  <c r="B11" i="5" s="1"/>
  <c r="E11" i="5" s="1"/>
  <c r="J27" i="5"/>
  <c r="H27" i="5"/>
  <c r="I27" i="5"/>
  <c r="F28" i="5"/>
  <c r="G28" i="5" s="1"/>
  <c r="I10" i="5"/>
  <c r="G10" i="5"/>
  <c r="H10" i="5"/>
  <c r="F11" i="5"/>
  <c r="A12" i="5"/>
  <c r="A29" i="5"/>
  <c r="D29" i="5" l="1"/>
  <c r="B29" i="5" s="1"/>
  <c r="E29" i="5" s="1"/>
  <c r="D12" i="5"/>
  <c r="B12" i="5" s="1"/>
  <c r="E12" i="5" s="1"/>
  <c r="J11" i="5"/>
  <c r="H28" i="5"/>
  <c r="J28" i="5"/>
  <c r="F29" i="5"/>
  <c r="H29" i="5" s="1"/>
  <c r="I11" i="5"/>
  <c r="F12" i="5"/>
  <c r="A13" i="5"/>
  <c r="G11" i="5"/>
  <c r="H11" i="5"/>
  <c r="A30" i="5"/>
  <c r="D30" i="5" l="1"/>
  <c r="B30" i="5" s="1"/>
  <c r="E30" i="5" s="1"/>
  <c r="D13" i="5"/>
  <c r="B13" i="5" s="1"/>
  <c r="E13" i="5" s="1"/>
  <c r="J12" i="5"/>
  <c r="J29" i="5"/>
  <c r="G29" i="5"/>
  <c r="I29" i="5"/>
  <c r="F30" i="5"/>
  <c r="G30" i="5" s="1"/>
  <c r="I12" i="5"/>
  <c r="F13" i="5"/>
  <c r="A14" i="5"/>
  <c r="G12" i="5"/>
  <c r="H12" i="5"/>
  <c r="A31" i="5"/>
  <c r="D31" i="5" l="1"/>
  <c r="B31" i="5" s="1"/>
  <c r="E31" i="5" s="1"/>
  <c r="D14" i="5"/>
  <c r="B14" i="5" s="1"/>
  <c r="H30" i="5"/>
  <c r="J13" i="5"/>
  <c r="J30" i="5"/>
  <c r="E14" i="5"/>
  <c r="I13" i="5"/>
  <c r="I30" i="5"/>
  <c r="F31" i="5"/>
  <c r="H31" i="5" s="1"/>
  <c r="F14" i="5"/>
  <c r="A15" i="5"/>
  <c r="H13" i="5"/>
  <c r="G13" i="5"/>
  <c r="A32" i="5"/>
  <c r="D32" i="5" l="1"/>
  <c r="B32" i="5" s="1"/>
  <c r="E32" i="5" s="1"/>
  <c r="I32" i="5" s="1"/>
  <c r="D15" i="5"/>
  <c r="B15" i="5" s="1"/>
  <c r="E15" i="5" s="1"/>
  <c r="J31" i="5"/>
  <c r="G31" i="5"/>
  <c r="J14" i="5"/>
  <c r="A39" i="6"/>
  <c r="L4" i="6" s="1"/>
  <c r="I14" i="5"/>
  <c r="F32" i="5"/>
  <c r="H32" i="5" s="1"/>
  <c r="I31" i="5"/>
  <c r="F15" i="5"/>
  <c r="A16" i="5"/>
  <c r="H14" i="5"/>
  <c r="G14" i="5"/>
  <c r="A33" i="5"/>
  <c r="D33" i="5" l="1"/>
  <c r="B33" i="5" s="1"/>
  <c r="E33" i="5" s="1"/>
  <c r="D16" i="5"/>
  <c r="B16" i="5" s="1"/>
  <c r="E16" i="5" s="1"/>
  <c r="J15" i="5"/>
  <c r="G32" i="5"/>
  <c r="H40" i="6"/>
  <c r="M4" i="6"/>
  <c r="J32" i="5"/>
  <c r="F33" i="5"/>
  <c r="H33" i="5" s="1"/>
  <c r="I15" i="5"/>
  <c r="F16" i="5"/>
  <c r="A17" i="5"/>
  <c r="G15" i="5"/>
  <c r="H15" i="5"/>
  <c r="A34" i="5"/>
  <c r="D34" i="5" l="1"/>
  <c r="B34" i="5" s="1"/>
  <c r="D17" i="5"/>
  <c r="B17" i="5" s="1"/>
  <c r="E17" i="5" s="1"/>
  <c r="G33" i="5"/>
  <c r="J33" i="5"/>
  <c r="J16" i="5"/>
  <c r="L5" i="6"/>
  <c r="R6" i="6"/>
  <c r="P29" i="6" s="1"/>
  <c r="C40" i="6"/>
  <c r="R4" i="6" s="1"/>
  <c r="P27" i="6" s="1"/>
  <c r="G40" i="6"/>
  <c r="R5" i="6" s="1"/>
  <c r="P28" i="6" s="1"/>
  <c r="E40" i="6"/>
  <c r="M6" i="6" s="1"/>
  <c r="F40" i="6"/>
  <c r="N6" i="6" s="1"/>
  <c r="D40" i="6"/>
  <c r="N4" i="6" s="1"/>
  <c r="I16" i="5"/>
  <c r="I33" i="5"/>
  <c r="F34" i="5"/>
  <c r="A37" i="5"/>
  <c r="L5" i="5" s="1"/>
  <c r="A36" i="5"/>
  <c r="L4" i="5" s="1"/>
  <c r="F17" i="5"/>
  <c r="H16" i="5"/>
  <c r="G16" i="5"/>
  <c r="E34" i="5"/>
  <c r="I34" i="5" s="1"/>
  <c r="J17" i="5" l="1"/>
  <c r="F37" i="5"/>
  <c r="M5" i="5" s="1"/>
  <c r="H34" i="5"/>
  <c r="G34" i="5"/>
  <c r="L6" i="6"/>
  <c r="M5" i="6"/>
  <c r="N12" i="6" s="1"/>
  <c r="L19" i="6" s="1"/>
  <c r="N5" i="6"/>
  <c r="M13" i="6"/>
  <c r="M18" i="6" s="1"/>
  <c r="L13" i="6"/>
  <c r="M17" i="6" s="1"/>
  <c r="L12" i="6"/>
  <c r="L17" i="6" s="1"/>
  <c r="M8" i="6"/>
  <c r="M23" i="6" s="1"/>
  <c r="M28" i="6" s="1"/>
  <c r="N14" i="6"/>
  <c r="N19" i="6" s="1"/>
  <c r="N13" i="6"/>
  <c r="M19" i="6" s="1"/>
  <c r="J34" i="5"/>
  <c r="E37" i="5"/>
  <c r="I17" i="5"/>
  <c r="M4" i="5"/>
  <c r="N14" i="5" s="1"/>
  <c r="N19" i="5" s="1"/>
  <c r="H17" i="5"/>
  <c r="G17" i="5"/>
  <c r="J37" i="5" l="1"/>
  <c r="R6" i="5" s="1"/>
  <c r="P29" i="5" s="1"/>
  <c r="G37" i="5"/>
  <c r="N5" i="5" s="1"/>
  <c r="H37" i="5"/>
  <c r="N6" i="5" s="1"/>
  <c r="M24" i="6"/>
  <c r="M29" i="6" s="1"/>
  <c r="M14" i="6"/>
  <c r="N18" i="6" s="1"/>
  <c r="N23" i="6" s="1"/>
  <c r="N28" i="6" s="1"/>
  <c r="L14" i="6"/>
  <c r="N17" i="6" s="1"/>
  <c r="N22" i="6" s="1"/>
  <c r="N27" i="6" s="1"/>
  <c r="M12" i="6"/>
  <c r="L18" i="6" s="1"/>
  <c r="L22" i="6"/>
  <c r="N24" i="6"/>
  <c r="N29" i="6" s="1"/>
  <c r="M22" i="6"/>
  <c r="L24" i="6"/>
  <c r="L23" i="6"/>
  <c r="R4" i="5"/>
  <c r="P27" i="5" s="1"/>
  <c r="I37" i="5"/>
  <c r="R5" i="5" s="1"/>
  <c r="P28" i="5" s="1"/>
  <c r="M6" i="5"/>
  <c r="L6" i="5"/>
  <c r="N4" i="5"/>
  <c r="L12" i="5" l="1"/>
  <c r="L17" i="5" s="1"/>
  <c r="R23" i="6"/>
  <c r="L28" i="6"/>
  <c r="R28" i="6" s="1"/>
  <c r="N32" i="6" s="1"/>
  <c r="P23" i="6"/>
  <c r="R24" i="6"/>
  <c r="Q24" i="6"/>
  <c r="P24" i="6"/>
  <c r="L29" i="6"/>
  <c r="R29" i="6" s="1"/>
  <c r="N33" i="6" s="1"/>
  <c r="M42" i="6" s="1"/>
  <c r="M45" i="6" s="1"/>
  <c r="M27" i="6"/>
  <c r="Q23" i="6"/>
  <c r="L27" i="6"/>
  <c r="R22" i="6"/>
  <c r="Q22" i="6"/>
  <c r="P22" i="6"/>
  <c r="M14" i="5"/>
  <c r="N18" i="5" s="1"/>
  <c r="L14" i="5"/>
  <c r="N17" i="5" s="1"/>
  <c r="L13" i="5"/>
  <c r="M17" i="5" s="1"/>
  <c r="M13" i="5"/>
  <c r="M18" i="5" s="1"/>
  <c r="N13" i="5"/>
  <c r="M19" i="5" s="1"/>
  <c r="M8" i="5"/>
  <c r="N12" i="5"/>
  <c r="L19" i="5" s="1"/>
  <c r="M12" i="5"/>
  <c r="L18" i="5" s="1"/>
  <c r="R27" i="6" l="1"/>
  <c r="N31" i="6" s="1"/>
  <c r="M41" i="6" s="1"/>
  <c r="M43" i="6"/>
  <c r="L23" i="5"/>
  <c r="L24" i="5"/>
  <c r="N23" i="5"/>
  <c r="N28" i="5" s="1"/>
  <c r="L29" i="5"/>
  <c r="L28" i="5"/>
  <c r="M22" i="5"/>
  <c r="N24" i="5"/>
  <c r="N29" i="5" s="1"/>
  <c r="L22" i="5"/>
  <c r="M24" i="5"/>
  <c r="M29" i="5" s="1"/>
  <c r="M23" i="5"/>
  <c r="M28" i="5" s="1"/>
  <c r="N22" i="5"/>
  <c r="N27" i="5" s="1"/>
  <c r="J6" i="6" l="1"/>
  <c r="J2" i="6"/>
  <c r="J5" i="6"/>
  <c r="J3" i="6"/>
  <c r="J4" i="6"/>
  <c r="R22" i="5"/>
  <c r="Q22" i="5"/>
  <c r="L27" i="5"/>
  <c r="P22" i="5"/>
  <c r="Q23" i="5"/>
  <c r="M27" i="5"/>
  <c r="P23" i="5"/>
  <c r="R29" i="5"/>
  <c r="N33" i="5" s="1"/>
  <c r="Q41" i="5" s="1"/>
  <c r="Q24" i="5"/>
  <c r="R28" i="5"/>
  <c r="N32" i="5" s="1"/>
  <c r="R23" i="5"/>
  <c r="P24" i="5"/>
  <c r="R24" i="5"/>
  <c r="Q42" i="5" l="1"/>
  <c r="R27" i="5"/>
  <c r="N31" i="5" s="1"/>
  <c r="Q40" i="5" s="1"/>
  <c r="T2" i="5" l="1"/>
  <c r="T34" i="5"/>
  <c r="T22" i="5"/>
  <c r="T10" i="5"/>
  <c r="T33" i="5"/>
  <c r="T21" i="5"/>
  <c r="T9" i="5"/>
  <c r="T19" i="5"/>
  <c r="T32" i="5"/>
  <c r="T20" i="5"/>
  <c r="T8" i="5"/>
  <c r="T7" i="5"/>
  <c r="T31" i="5"/>
  <c r="T30" i="5"/>
  <c r="T18" i="5"/>
  <c r="T6" i="5"/>
  <c r="T29" i="5"/>
  <c r="T17" i="5"/>
  <c r="T5" i="5"/>
  <c r="T28" i="5"/>
  <c r="T16" i="5"/>
  <c r="T4" i="5"/>
  <c r="T27" i="5"/>
  <c r="T15" i="5"/>
  <c r="T3" i="5"/>
  <c r="T26" i="5"/>
  <c r="T14" i="5"/>
  <c r="T25" i="5"/>
  <c r="T13" i="5"/>
  <c r="T11" i="5"/>
  <c r="T24" i="5"/>
  <c r="T12" i="5"/>
  <c r="T2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MARIANO GOULART DENIS</author>
  </authors>
  <commentList>
    <comment ref="L45" authorId="0" shapeId="0" xr:uid="{636EAAB1-D0E0-43CF-BF95-E3509AC8581F}">
      <text>
        <r>
          <rPr>
            <b/>
            <sz val="9"/>
            <color indexed="81"/>
            <rFont val="Tahoma"/>
            <charset val="1"/>
          </rPr>
          <t>MARIANO GOULART DENIS:</t>
        </r>
        <r>
          <rPr>
            <sz val="9"/>
            <color indexed="81"/>
            <rFont val="Tahoma"/>
            <charset val="1"/>
          </rPr>
          <t xml:space="preserve">
</t>
        </r>
        <r>
          <rPr>
            <sz val="12"/>
            <color indexed="81"/>
            <rFont val="Tahoma"/>
            <family val="2"/>
          </rPr>
          <t>FWHM=2.SQRT(2.LN(2)).</t>
        </r>
        <r>
          <rPr>
            <sz val="12"/>
            <color indexed="81"/>
            <rFont val="Sitka Text Semibold"/>
          </rPr>
          <t>sigma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MARIANO GOULART DENIS</author>
  </authors>
  <commentList>
    <comment ref="L45" authorId="0" shapeId="0" xr:uid="{5A976339-C25D-42A7-8097-693A766CF3CF}">
      <text>
        <r>
          <rPr>
            <b/>
            <sz val="9"/>
            <color indexed="81"/>
            <rFont val="Tahoma"/>
            <charset val="1"/>
          </rPr>
          <t>MARIANO GOULART DENIS:</t>
        </r>
        <r>
          <rPr>
            <sz val="9"/>
            <color indexed="81"/>
            <rFont val="Tahoma"/>
            <charset val="1"/>
          </rPr>
          <t xml:space="preserve">
</t>
        </r>
        <r>
          <rPr>
            <sz val="12"/>
            <color indexed="81"/>
            <rFont val="Tahoma"/>
            <family val="2"/>
          </rPr>
          <t>FWHM=2.SQRT(2.LN(2)).</t>
        </r>
        <r>
          <rPr>
            <sz val="12"/>
            <color indexed="81"/>
            <rFont val="Sitka Text Semibold"/>
          </rPr>
          <t>sigma</t>
        </r>
      </text>
    </comment>
  </commentList>
</comments>
</file>

<file path=xl/sharedStrings.xml><?xml version="1.0" encoding="utf-8"?>
<sst xmlns="http://schemas.openxmlformats.org/spreadsheetml/2006/main" count="125" uniqueCount="44">
  <si>
    <t>A</t>
  </si>
  <si>
    <t>x</t>
  </si>
  <si>
    <t>y</t>
  </si>
  <si>
    <t>ln y</t>
  </si>
  <si>
    <t>a</t>
  </si>
  <si>
    <t>b</t>
  </si>
  <si>
    <t>c</t>
  </si>
  <si>
    <t>M</t>
  </si>
  <si>
    <t>2° membre</t>
  </si>
  <si>
    <t>x²</t>
  </si>
  <si>
    <t>x3</t>
  </si>
  <si>
    <t>x4</t>
  </si>
  <si>
    <t>N</t>
  </si>
  <si>
    <t>s</t>
  </si>
  <si>
    <t>m</t>
  </si>
  <si>
    <t>Sommes</t>
  </si>
  <si>
    <t>x.ln(y)</t>
  </si>
  <si>
    <t>x².ln(y)</t>
  </si>
  <si>
    <t>=</t>
  </si>
  <si>
    <t>DET =</t>
  </si>
  <si>
    <t>Mineurs</t>
  </si>
  <si>
    <t>Adj M</t>
  </si>
  <si>
    <t>inv(M)</t>
  </si>
  <si>
    <t>M.inv(M)</t>
  </si>
  <si>
    <t>FIT</t>
  </si>
  <si>
    <t>Contrôle</t>
  </si>
  <si>
    <t>FWHM (mm)</t>
  </si>
  <si>
    <t>CALCUL DU FIT GAUSSIEN (MOINDRE CARRES)</t>
  </si>
  <si>
    <t>CALCUL DU FIT GAUSSIEN</t>
  </si>
  <si>
    <t>TEST</t>
  </si>
  <si>
    <t>GAUSSIENNE</t>
  </si>
  <si>
    <r>
      <t>Fit Gauss(A,</t>
    </r>
    <r>
      <rPr>
        <b/>
        <sz val="11"/>
        <color theme="1"/>
        <rFont val="Symbol"/>
        <family val="1"/>
        <charset val="2"/>
      </rPr>
      <t>s,m</t>
    </r>
    <r>
      <rPr>
        <b/>
        <sz val="11"/>
        <color theme="1"/>
        <rFont val="Aptos Narrow"/>
        <family val="2"/>
        <scheme val="minor"/>
      </rPr>
      <t>)</t>
    </r>
  </si>
  <si>
    <t xml:space="preserve">R. Caruana, R. Searle, T. Heller, and S. Shupack. “Fast algorithm for the resolution of spectra”, Anal.Chem., vol. 58, no. 6, pp. 1162–1167, May 1986. </t>
  </si>
  <si>
    <t xml:space="preserve">REF : Hongwei Guo. A simple algorithm for fitting a Gaussian function IEEE Signal processing magazine [134]. Septembre 2011. </t>
  </si>
  <si>
    <t>Af</t>
  </si>
  <si>
    <r>
      <t>s</t>
    </r>
    <r>
      <rPr>
        <sz val="11"/>
        <color theme="1"/>
        <rFont val="Aptos Display"/>
        <family val="2"/>
        <scheme val="major"/>
      </rPr>
      <t>f</t>
    </r>
  </si>
  <si>
    <r>
      <t>m</t>
    </r>
    <r>
      <rPr>
        <sz val="11"/>
        <color theme="1"/>
        <rFont val="Aptos Display"/>
        <family val="2"/>
        <scheme val="major"/>
      </rPr>
      <t>f</t>
    </r>
  </si>
  <si>
    <r>
      <t>y = gauss(A,</t>
    </r>
    <r>
      <rPr>
        <sz val="9"/>
        <color theme="1"/>
        <rFont val="Symbol"/>
        <family val="1"/>
        <charset val="2"/>
      </rPr>
      <t>s,m</t>
    </r>
    <r>
      <rPr>
        <sz val="9"/>
        <color theme="1"/>
        <rFont val="Aptos Narrow"/>
        <family val="2"/>
        <scheme val="minor"/>
      </rPr>
      <t>)</t>
    </r>
  </si>
  <si>
    <r>
      <t>y = gauss(Af,</t>
    </r>
    <r>
      <rPr>
        <sz val="9"/>
        <color rgb="FF0070C0"/>
        <rFont val="Symbol"/>
        <family val="1"/>
        <charset val="2"/>
      </rPr>
      <t>s</t>
    </r>
    <r>
      <rPr>
        <sz val="9"/>
        <color rgb="FF0070C0"/>
        <rFont val="Aptos Narrow"/>
        <family val="2"/>
        <scheme val="minor"/>
      </rPr>
      <t>f</t>
    </r>
    <r>
      <rPr>
        <sz val="9"/>
        <color rgb="FF0070C0"/>
        <rFont val="Symbol"/>
        <family val="1"/>
        <charset val="2"/>
      </rPr>
      <t>,m</t>
    </r>
    <r>
      <rPr>
        <sz val="9"/>
        <color rgb="FF0070C0"/>
        <rFont val="Aptos Narrow"/>
        <family val="2"/>
        <scheme val="minor"/>
      </rPr>
      <t>f)</t>
    </r>
  </si>
  <si>
    <r>
      <t>y = gauss(A,</t>
    </r>
    <r>
      <rPr>
        <sz val="9"/>
        <color theme="1"/>
        <rFont val="Symbol"/>
        <family val="1"/>
        <charset val="2"/>
      </rPr>
      <t>s,m</t>
    </r>
    <r>
      <rPr>
        <sz val="9"/>
        <color theme="1"/>
        <rFont val="Aptos Narrow"/>
        <family val="2"/>
        <scheme val="minor"/>
      </rPr>
      <t>)+</t>
    </r>
    <r>
      <rPr>
        <sz val="9"/>
        <color theme="1"/>
        <rFont val="Symbol"/>
        <family val="1"/>
        <charset val="2"/>
      </rPr>
      <t>e</t>
    </r>
  </si>
  <si>
    <t>e</t>
  </si>
  <si>
    <r>
      <rPr>
        <b/>
        <sz val="12"/>
        <color theme="1"/>
        <rFont val="Aptos Narrow"/>
        <family val="2"/>
        <scheme val="minor"/>
      </rPr>
      <t xml:space="preserve">Mode d'emploi </t>
    </r>
    <r>
      <rPr>
        <sz val="12"/>
        <color theme="1"/>
        <rFont val="Aptos Narrow"/>
        <family val="2"/>
        <scheme val="minor"/>
      </rPr>
      <t>: Remplir la colonne A avec les abscisses des pixels de l'image de réponse impulsionnelle en mm, et la colonne B avec les taux de comptages (en coups) mesurés. Ne pas modifier les autres cellules (seules les cellules blanches A2:A37 et B2:B37 sont modifiables). Vérifier que la courbe en bas à gauche de la feuille excel a l'allure d'une parabole croissante jusqu'à x=0, puis décroissante. Si ce n'est pas le cas, réduire la plage des points pris en compte autour de l'origine. Si c'est la cas, la FWHM est donnée en cellule M45. Les cellules M41, M42 et M43 donnent respectivement l'amplitude, l'écart-type et la moyenne du fit gaussien évalué. Le graphe en haut à droite représente les données (en orange) et le fit gaussien (en pointillés bleus).</t>
    </r>
  </si>
  <si>
    <r>
      <rPr>
        <b/>
        <sz val="12"/>
        <color theme="1"/>
        <rFont val="Aptos Narrow"/>
        <family val="2"/>
        <scheme val="minor"/>
      </rPr>
      <t xml:space="preserve">Mode d'emploi </t>
    </r>
    <r>
      <rPr>
        <sz val="12"/>
        <color theme="1"/>
        <rFont val="Aptos Narrow"/>
        <family val="2"/>
        <scheme val="minor"/>
      </rPr>
      <t xml:space="preserve">: Cette page teste le fit gaussien. Entrez en B40, B41 et B42 l'amplitude, l'écart-type et la moyenne de la gaussienne à fitter. Entrez en cellule B44 l'amplitude maximale x 100 en valeur absolue du bruit à y ajouter. Seules ces 4 cellules blanches sont modifiables. Ne pas modifier les  cellules colorées.  Le graphe du haut donne la gaussienne bruitée à fitter (en orange), son fit (en pointillés bleus) et la gaussienne théorique non bruitée (en vert). Le graphe du bas est la parabole ln y = f(x) de la gaussienne bruitée qui doit avoir l'allure d'une parabole croissante pour x&lt;0, puis décroissante. Les cellules P40,P41 et P42 donnent l'amplitude, l'écart-type et la moyenne de la gaussienne fittée, à comparer aux cellules B40, B41 et B42. </t>
    </r>
  </si>
  <si>
    <r>
      <t xml:space="preserve">e </t>
    </r>
    <r>
      <rPr>
        <b/>
        <sz val="11"/>
        <color rgb="FFC00000"/>
        <rFont val="Aptos Narrow"/>
        <family val="2"/>
        <scheme val="minor"/>
      </rPr>
      <t>Max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</si>
</sst>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color theme="1"/>
      <name val="Symbol"/>
      <family val="1"/>
      <charset val="2"/>
    </font>
    <font>
      <b/>
      <sz val="11"/>
      <color theme="1"/>
      <name val="Symbol"/>
      <family val="1"/>
      <charset val="2"/>
    </font>
    <font>
      <b/>
      <sz val="11"/>
      <color rgb="FFC00000"/>
      <name val="Aptos Display"/>
      <family val="2"/>
      <scheme val="major"/>
    </font>
    <font>
      <b/>
      <sz val="11"/>
      <color rgb="FFC00000"/>
      <name val="Aptos Narrow"/>
      <family val="2"/>
      <scheme val="minor"/>
    </font>
    <font>
      <sz val="9"/>
      <color indexed="81"/>
      <name val="Tahoma"/>
      <charset val="1"/>
    </font>
    <font>
      <b/>
      <sz val="9"/>
      <color indexed="81"/>
      <name val="Tahoma"/>
      <charset val="1"/>
    </font>
    <font>
      <sz val="12"/>
      <color indexed="81"/>
      <name val="Tahoma"/>
      <family val="2"/>
    </font>
    <font>
      <sz val="12"/>
      <color indexed="81"/>
      <name val="Sitka Text Semibold"/>
    </font>
    <font>
      <sz val="11"/>
      <color theme="1"/>
      <name val="Aptos Display"/>
      <family val="2"/>
      <scheme val="major"/>
    </font>
    <font>
      <sz val="11"/>
      <color rgb="FF0070C0"/>
      <name val="Aptos Narrow"/>
      <family val="2"/>
      <scheme val="minor"/>
    </font>
    <font>
      <sz val="12"/>
      <color theme="1"/>
      <name val="Aptos Narrow"/>
      <family val="2"/>
      <scheme val="minor"/>
    </font>
    <font>
      <b/>
      <sz val="12"/>
      <color theme="1"/>
      <name val="Aptos Narrow"/>
      <family val="2"/>
      <scheme val="minor"/>
    </font>
    <font>
      <sz val="9"/>
      <color theme="1"/>
      <name val="Aptos Narrow"/>
      <family val="2"/>
      <scheme val="minor"/>
    </font>
    <font>
      <sz val="9"/>
      <color theme="1"/>
      <name val="Symbol"/>
      <family val="1"/>
      <charset val="2"/>
    </font>
    <font>
      <sz val="9"/>
      <color rgb="FF0070C0"/>
      <name val="Aptos Narrow"/>
      <family val="2"/>
      <scheme val="minor"/>
    </font>
    <font>
      <sz val="9"/>
      <color rgb="FF0070C0"/>
      <name val="Symbol"/>
      <family val="1"/>
      <charset val="2"/>
    </font>
    <font>
      <b/>
      <sz val="11"/>
      <color rgb="FFC00000"/>
      <name val="Symbol"/>
      <family val="1"/>
      <charset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CC"/>
        <bgColor indexed="64"/>
      </patternFill>
    </fill>
    <fill>
      <patternFill patternType="solid">
        <fgColor rgb="FFD9F1FF"/>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3">
    <xf numFmtId="0" fontId="0" fillId="0" borderId="0" xfId="0"/>
    <xf numFmtId="164" fontId="0" fillId="0" borderId="0" xfId="0" applyNumberFormat="1" applyAlignment="1">
      <alignment horizontal="center"/>
    </xf>
    <xf numFmtId="0" fontId="0" fillId="0" borderId="0" xfId="0" applyAlignment="1">
      <alignment horizontal="center"/>
    </xf>
    <xf numFmtId="2" fontId="0" fillId="0" borderId="0" xfId="0" applyNumberFormat="1" applyAlignment="1">
      <alignment horizontal="center"/>
    </xf>
    <xf numFmtId="2" fontId="18" fillId="0" borderId="0" xfId="0" applyNumberFormat="1" applyFont="1" applyAlignment="1">
      <alignment horizontal="center"/>
    </xf>
    <xf numFmtId="0" fontId="0" fillId="0" borderId="10" xfId="0" applyBorder="1"/>
    <xf numFmtId="2" fontId="0" fillId="0" borderId="0" xfId="0" applyNumberFormat="1" applyAlignment="1"/>
    <xf numFmtId="2" fontId="0" fillId="0" borderId="10" xfId="0" applyNumberFormat="1" applyBorder="1" applyAlignment="1"/>
    <xf numFmtId="0" fontId="0" fillId="0" borderId="10" xfId="0" applyBorder="1" applyAlignment="1">
      <alignment horizontal="center"/>
    </xf>
    <xf numFmtId="164" fontId="0" fillId="33" borderId="10" xfId="0" applyNumberFormat="1" applyFill="1" applyBorder="1" applyAlignment="1">
      <alignment horizontal="center"/>
    </xf>
    <xf numFmtId="164" fontId="19" fillId="33" borderId="10" xfId="0" applyNumberFormat="1" applyFont="1" applyFill="1" applyBorder="1" applyAlignment="1">
      <alignment horizontal="center"/>
    </xf>
    <xf numFmtId="164" fontId="0" fillId="0" borderId="0" xfId="0" applyNumberFormat="1" applyAlignment="1"/>
    <xf numFmtId="2" fontId="18" fillId="0" borderId="0" xfId="0" applyNumberFormat="1" applyFont="1" applyAlignment="1"/>
    <xf numFmtId="2" fontId="18" fillId="0" borderId="10" xfId="0" applyNumberFormat="1" applyFont="1" applyBorder="1" applyAlignment="1"/>
    <xf numFmtId="2" fontId="18" fillId="0" borderId="17" xfId="0" applyNumberFormat="1" applyFont="1" applyBorder="1" applyAlignment="1"/>
    <xf numFmtId="0" fontId="0" fillId="34" borderId="12" xfId="0" applyFill="1" applyBorder="1" applyAlignment="1">
      <alignment horizontal="center"/>
    </xf>
    <xf numFmtId="0" fontId="0" fillId="34" borderId="13" xfId="0" applyFill="1" applyBorder="1" applyAlignment="1">
      <alignment horizontal="center"/>
    </xf>
    <xf numFmtId="2" fontId="0" fillId="34" borderId="10" xfId="0" applyNumberFormat="1" applyFill="1" applyBorder="1" applyAlignment="1">
      <alignment horizontal="center"/>
    </xf>
    <xf numFmtId="2" fontId="0" fillId="34" borderId="15" xfId="0" applyNumberFormat="1" applyFill="1" applyBorder="1" applyAlignment="1">
      <alignment horizontal="center"/>
    </xf>
    <xf numFmtId="2" fontId="0" fillId="34" borderId="17" xfId="0" applyNumberFormat="1" applyFill="1" applyBorder="1" applyAlignment="1">
      <alignment horizontal="center"/>
    </xf>
    <xf numFmtId="2" fontId="0" fillId="34" borderId="18" xfId="0" applyNumberFormat="1" applyFill="1" applyBorder="1" applyAlignment="1">
      <alignment horizontal="center"/>
    </xf>
    <xf numFmtId="0" fontId="0" fillId="35" borderId="20" xfId="0" applyFill="1" applyBorder="1" applyAlignment="1">
      <alignment horizontal="center"/>
    </xf>
    <xf numFmtId="0" fontId="0" fillId="35" borderId="21" xfId="0" applyFill="1" applyBorder="1" applyAlignment="1">
      <alignment horizontal="center"/>
    </xf>
    <xf numFmtId="2" fontId="0" fillId="35" borderId="22" xfId="0" applyNumberFormat="1" applyFill="1" applyBorder="1" applyAlignment="1">
      <alignment horizontal="center"/>
    </xf>
    <xf numFmtId="0" fontId="0" fillId="35" borderId="0" xfId="0" applyFill="1" applyBorder="1" applyAlignment="1">
      <alignment horizontal="center"/>
    </xf>
    <xf numFmtId="0" fontId="0" fillId="35" borderId="23" xfId="0" applyFill="1" applyBorder="1" applyAlignment="1">
      <alignment horizontal="center"/>
    </xf>
    <xf numFmtId="2" fontId="0" fillId="35" borderId="14" xfId="0" applyNumberFormat="1" applyFill="1" applyBorder="1" applyAlignment="1">
      <alignment horizontal="center"/>
    </xf>
    <xf numFmtId="2" fontId="0" fillId="35" borderId="10" xfId="0" applyNumberFormat="1" applyFill="1" applyBorder="1" applyAlignment="1">
      <alignment horizontal="center"/>
    </xf>
    <xf numFmtId="2" fontId="0" fillId="35" borderId="0" xfId="0" applyNumberFormat="1" applyFill="1" applyBorder="1" applyAlignment="1">
      <alignment horizontal="center"/>
    </xf>
    <xf numFmtId="2" fontId="0" fillId="35" borderId="15" xfId="0" applyNumberFormat="1" applyFill="1" applyBorder="1" applyAlignment="1">
      <alignment horizontal="center"/>
    </xf>
    <xf numFmtId="0" fontId="0" fillId="35" borderId="0" xfId="0" applyFill="1" applyBorder="1"/>
    <xf numFmtId="0" fontId="0" fillId="35" borderId="23" xfId="0" applyFill="1" applyBorder="1"/>
    <xf numFmtId="165" fontId="0" fillId="35" borderId="15" xfId="0" applyNumberFormat="1" applyFill="1" applyBorder="1" applyAlignment="1">
      <alignment horizontal="center"/>
    </xf>
    <xf numFmtId="2" fontId="0" fillId="35" borderId="16" xfId="0" applyNumberFormat="1" applyFill="1" applyBorder="1" applyAlignment="1">
      <alignment horizontal="center"/>
    </xf>
    <xf numFmtId="0" fontId="0" fillId="35" borderId="24" xfId="0" applyFill="1" applyBorder="1" applyAlignment="1">
      <alignment horizontal="center"/>
    </xf>
    <xf numFmtId="2" fontId="0" fillId="35" borderId="17" xfId="0" applyNumberFormat="1" applyFill="1" applyBorder="1" applyAlignment="1">
      <alignment horizontal="center"/>
    </xf>
    <xf numFmtId="0" fontId="0" fillId="35" borderId="24" xfId="0" applyFill="1" applyBorder="1"/>
    <xf numFmtId="0" fontId="0" fillId="35" borderId="25" xfId="0" applyFill="1" applyBorder="1"/>
    <xf numFmtId="0" fontId="16" fillId="35" borderId="20" xfId="0" applyFont="1" applyFill="1" applyBorder="1" applyAlignment="1">
      <alignment horizontal="center"/>
    </xf>
    <xf numFmtId="0" fontId="16" fillId="35" borderId="21" xfId="0" applyFont="1" applyFill="1" applyBorder="1" applyAlignment="1">
      <alignment horizontal="center"/>
    </xf>
    <xf numFmtId="2" fontId="16" fillId="35" borderId="22" xfId="0" applyNumberFormat="1" applyFont="1" applyFill="1" applyBorder="1" applyAlignment="1">
      <alignment horizontal="center"/>
    </xf>
    <xf numFmtId="0" fontId="16" fillId="35" borderId="0" xfId="0" applyFont="1" applyFill="1" applyBorder="1" applyAlignment="1">
      <alignment horizontal="center"/>
    </xf>
    <xf numFmtId="0" fontId="16" fillId="35" borderId="23" xfId="0" applyFont="1" applyFill="1" applyBorder="1" applyAlignment="1">
      <alignment horizontal="center"/>
    </xf>
    <xf numFmtId="2" fontId="16" fillId="35" borderId="14" xfId="0" applyNumberFormat="1" applyFont="1" applyFill="1" applyBorder="1" applyAlignment="1">
      <alignment horizontal="center"/>
    </xf>
    <xf numFmtId="2" fontId="16" fillId="35" borderId="10" xfId="0" applyNumberFormat="1" applyFont="1" applyFill="1" applyBorder="1" applyAlignment="1">
      <alignment horizontal="center"/>
    </xf>
    <xf numFmtId="2" fontId="16" fillId="35" borderId="0" xfId="0" applyNumberFormat="1" applyFont="1" applyFill="1" applyBorder="1" applyAlignment="1">
      <alignment horizontal="center"/>
    </xf>
    <xf numFmtId="2" fontId="16" fillId="35" borderId="15" xfId="0" applyNumberFormat="1" applyFont="1" applyFill="1" applyBorder="1" applyAlignment="1">
      <alignment horizontal="center"/>
    </xf>
    <xf numFmtId="0" fontId="16" fillId="35" borderId="0" xfId="0" applyFont="1" applyFill="1" applyBorder="1"/>
    <xf numFmtId="0" fontId="16" fillId="35" borderId="23" xfId="0" applyFont="1" applyFill="1" applyBorder="1"/>
    <xf numFmtId="165" fontId="16" fillId="35" borderId="15" xfId="0" applyNumberFormat="1" applyFont="1" applyFill="1" applyBorder="1" applyAlignment="1">
      <alignment horizontal="center"/>
    </xf>
    <xf numFmtId="2" fontId="16" fillId="35" borderId="16" xfId="0" applyNumberFormat="1" applyFont="1" applyFill="1" applyBorder="1" applyAlignment="1">
      <alignment horizontal="center"/>
    </xf>
    <xf numFmtId="0" fontId="16" fillId="35" borderId="24" xfId="0" applyFont="1" applyFill="1" applyBorder="1" applyAlignment="1">
      <alignment horizontal="center"/>
    </xf>
    <xf numFmtId="2" fontId="16" fillId="35" borderId="17" xfId="0" applyNumberFormat="1" applyFont="1" applyFill="1" applyBorder="1" applyAlignment="1">
      <alignment horizontal="center"/>
    </xf>
    <xf numFmtId="0" fontId="16" fillId="35" borderId="24" xfId="0" applyFont="1" applyFill="1" applyBorder="1"/>
    <xf numFmtId="0" fontId="16" fillId="35" borderId="25" xfId="0" applyFont="1" applyFill="1" applyBorder="1"/>
    <xf numFmtId="2" fontId="0" fillId="0" borderId="17" xfId="0" applyNumberFormat="1" applyBorder="1" applyAlignment="1"/>
    <xf numFmtId="2" fontId="0" fillId="34" borderId="27" xfId="0" applyNumberFormat="1" applyFill="1" applyBorder="1" applyAlignment="1">
      <alignment horizontal="center"/>
    </xf>
    <xf numFmtId="2" fontId="0" fillId="34" borderId="28" xfId="0" applyNumberFormat="1" applyFill="1" applyBorder="1" applyAlignment="1">
      <alignment horizontal="center"/>
    </xf>
    <xf numFmtId="164" fontId="16" fillId="0" borderId="12" xfId="0" applyNumberFormat="1" applyFont="1" applyBorder="1" applyAlignment="1">
      <alignment horizontal="center"/>
    </xf>
    <xf numFmtId="0" fontId="16" fillId="34" borderId="12" xfId="0" applyFont="1" applyFill="1" applyBorder="1" applyAlignment="1">
      <alignment horizontal="center"/>
    </xf>
    <xf numFmtId="0" fontId="16" fillId="34" borderId="13" xfId="0" applyFont="1" applyFill="1" applyBorder="1" applyAlignment="1">
      <alignment horizontal="center"/>
    </xf>
    <xf numFmtId="0" fontId="16" fillId="0" borderId="0" xfId="0" applyFont="1" applyAlignment="1">
      <alignment horizontal="center"/>
    </xf>
    <xf numFmtId="164" fontId="16" fillId="34" borderId="26" xfId="0" applyNumberFormat="1" applyFont="1" applyFill="1" applyBorder="1" applyAlignment="1">
      <alignment horizontal="center"/>
    </xf>
    <xf numFmtId="164" fontId="21" fillId="33" borderId="29" xfId="0" applyNumberFormat="1" applyFont="1" applyFill="1" applyBorder="1" applyAlignment="1">
      <alignment horizontal="center"/>
    </xf>
    <xf numFmtId="164" fontId="22" fillId="33" borderId="30" xfId="0" applyNumberFormat="1" applyFont="1" applyFill="1" applyBorder="1" applyAlignment="1">
      <alignment horizontal="center"/>
    </xf>
    <xf numFmtId="1" fontId="0" fillId="0" borderId="10" xfId="0" applyNumberFormat="1" applyBorder="1"/>
    <xf numFmtId="0" fontId="18" fillId="0" borderId="10" xfId="0" applyFont="1" applyBorder="1"/>
    <xf numFmtId="2" fontId="0" fillId="0" borderId="0" xfId="0" applyNumberFormat="1" applyAlignment="1">
      <alignment horizontal="center"/>
    </xf>
    <xf numFmtId="2" fontId="16" fillId="35" borderId="19" xfId="0" applyNumberFormat="1" applyFont="1" applyFill="1" applyBorder="1" applyAlignment="1">
      <alignment horizontal="center"/>
    </xf>
    <xf numFmtId="0" fontId="16" fillId="0" borderId="20" xfId="0" applyFont="1" applyBorder="1" applyAlignment="1">
      <alignment horizontal="center"/>
    </xf>
    <xf numFmtId="2" fontId="0" fillId="0" borderId="0" xfId="0" applyNumberFormat="1" applyAlignment="1">
      <alignment horizontal="center"/>
    </xf>
    <xf numFmtId="0" fontId="29" fillId="0" borderId="0" xfId="0" applyFont="1" applyAlignment="1">
      <alignment horizontal="left" vertical="top" wrapText="1"/>
    </xf>
    <xf numFmtId="0" fontId="0" fillId="0" borderId="0" xfId="0" applyAlignment="1">
      <alignment horizontal="left" vertical="top" wrapText="1"/>
    </xf>
    <xf numFmtId="0" fontId="0" fillId="0" borderId="0" xfId="0" applyAlignment="1"/>
    <xf numFmtId="0" fontId="0" fillId="0" borderId="20" xfId="0" applyBorder="1" applyAlignment="1">
      <alignment horizontal="center"/>
    </xf>
    <xf numFmtId="164" fontId="0" fillId="0" borderId="0" xfId="0" applyNumberFormat="1" applyFill="1" applyBorder="1" applyAlignment="1">
      <alignment horizontal="center"/>
    </xf>
    <xf numFmtId="164" fontId="0" fillId="0" borderId="0" xfId="0" applyNumberFormat="1" applyFill="1" applyAlignment="1">
      <alignment horizontal="center"/>
    </xf>
    <xf numFmtId="1" fontId="0" fillId="0" borderId="0" xfId="0" applyNumberFormat="1" applyFill="1" applyBorder="1" applyAlignment="1">
      <alignment horizontal="center"/>
    </xf>
    <xf numFmtId="164" fontId="0" fillId="34" borderId="11" xfId="0" applyNumberFormat="1" applyFill="1" applyBorder="1" applyAlignment="1">
      <alignment horizontal="center"/>
    </xf>
    <xf numFmtId="164" fontId="31" fillId="34" borderId="12" xfId="0" applyNumberFormat="1" applyFont="1" applyFill="1" applyBorder="1" applyAlignment="1">
      <alignment horizontal="center"/>
    </xf>
    <xf numFmtId="2" fontId="0" fillId="34" borderId="14" xfId="0" applyNumberFormat="1" applyFill="1" applyBorder="1" applyAlignment="1">
      <alignment horizontal="center"/>
    </xf>
    <xf numFmtId="2" fontId="18" fillId="34" borderId="10" xfId="0" applyNumberFormat="1" applyFont="1" applyFill="1" applyBorder="1" applyAlignment="1">
      <alignment horizontal="center"/>
    </xf>
    <xf numFmtId="2" fontId="0" fillId="34" borderId="16" xfId="0" applyNumberFormat="1" applyFill="1" applyBorder="1" applyAlignment="1">
      <alignment horizontal="center"/>
    </xf>
    <xf numFmtId="164" fontId="33" fillId="34" borderId="10" xfId="0" applyNumberFormat="1" applyFont="1" applyFill="1" applyBorder="1" applyAlignment="1">
      <alignment horizontal="center"/>
    </xf>
    <xf numFmtId="2" fontId="28" fillId="34" borderId="10" xfId="0" applyNumberFormat="1" applyFont="1" applyFill="1" applyBorder="1" applyAlignment="1">
      <alignment horizontal="center"/>
    </xf>
    <xf numFmtId="2" fontId="0" fillId="34" borderId="10" xfId="0" applyNumberFormat="1" applyFill="1" applyBorder="1" applyAlignment="1"/>
    <xf numFmtId="0" fontId="19" fillId="34" borderId="12" xfId="0" applyFont="1" applyFill="1" applyBorder="1" applyAlignment="1">
      <alignment horizontal="center"/>
    </xf>
    <xf numFmtId="2" fontId="18" fillId="34" borderId="17" xfId="0" applyNumberFormat="1" applyFont="1" applyFill="1" applyBorder="1" applyAlignment="1">
      <alignment horizontal="center"/>
    </xf>
    <xf numFmtId="164" fontId="22" fillId="0" borderId="10" xfId="0" applyNumberFormat="1" applyFont="1" applyBorder="1" applyAlignment="1">
      <alignment horizontal="center"/>
    </xf>
    <xf numFmtId="164" fontId="22" fillId="0" borderId="10" xfId="0" applyNumberFormat="1" applyFont="1" applyFill="1" applyBorder="1" applyAlignment="1">
      <alignment horizontal="center"/>
    </xf>
    <xf numFmtId="164" fontId="35" fillId="0" borderId="10" xfId="0" applyNumberFormat="1" applyFont="1" applyFill="1" applyBorder="1" applyAlignment="1">
      <alignment horizontal="center"/>
    </xf>
    <xf numFmtId="164" fontId="22" fillId="0" borderId="0" xfId="0" applyNumberFormat="1" applyFont="1" applyFill="1" applyAlignment="1">
      <alignment horizontal="center"/>
    </xf>
    <xf numFmtId="1" fontId="22" fillId="0" borderId="10" xfId="0" applyNumberFormat="1" applyFont="1" applyFill="1" applyBorder="1" applyAlignment="1">
      <alignment horizont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FFFFCC"/>
      <color rgb="FFD9F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y</c:v>
          </c:tx>
          <c:spPr>
            <a:ln w="28575" cap="rnd">
              <a:solidFill>
                <a:schemeClr val="accent2"/>
              </a:solidFill>
              <a:round/>
            </a:ln>
            <a:effectLst/>
          </c:spPr>
          <c:marker>
            <c:symbol val="none"/>
          </c:marker>
          <c:cat>
            <c:numRef>
              <c:f>'FWHM Centre horizontal 1'!$A$2:$A$6</c:f>
              <c:numCache>
                <c:formatCode>General</c:formatCode>
                <c:ptCount val="5"/>
                <c:pt idx="0">
                  <c:v>-3.3</c:v>
                </c:pt>
                <c:pt idx="1">
                  <c:v>-1.65</c:v>
                </c:pt>
                <c:pt idx="2">
                  <c:v>0</c:v>
                </c:pt>
                <c:pt idx="3">
                  <c:v>1.65</c:v>
                </c:pt>
                <c:pt idx="4">
                  <c:v>3.3</c:v>
                </c:pt>
              </c:numCache>
            </c:numRef>
          </c:cat>
          <c:val>
            <c:numRef>
              <c:f>'FWHM Centre horizontal 1'!$B$2:$B$6</c:f>
              <c:numCache>
                <c:formatCode>General</c:formatCode>
                <c:ptCount val="5"/>
                <c:pt idx="0">
                  <c:v>666153.18799999997</c:v>
                </c:pt>
                <c:pt idx="1">
                  <c:v>12879098</c:v>
                </c:pt>
                <c:pt idx="2">
                  <c:v>38529680</c:v>
                </c:pt>
                <c:pt idx="3">
                  <c:v>6956554</c:v>
                </c:pt>
                <c:pt idx="4">
                  <c:v>346988.875</c:v>
                </c:pt>
              </c:numCache>
            </c:numRef>
          </c:val>
          <c:smooth val="0"/>
          <c:extLst>
            <c:ext xmlns:c16="http://schemas.microsoft.com/office/drawing/2014/chart" uri="{C3380CC4-5D6E-409C-BE32-E72D297353CC}">
              <c16:uniqueId val="{00000000-BA13-4274-AD7A-B0BF870F6C57}"/>
            </c:ext>
          </c:extLst>
        </c:ser>
        <c:ser>
          <c:idx val="0"/>
          <c:order val="1"/>
          <c:tx>
            <c:v>Fit y</c:v>
          </c:tx>
          <c:spPr>
            <a:ln w="28575" cap="rnd">
              <a:solidFill>
                <a:schemeClr val="accent1"/>
              </a:solidFill>
              <a:round/>
            </a:ln>
            <a:effectLst/>
          </c:spPr>
          <c:marker>
            <c:symbol val="none"/>
          </c:marker>
          <c:cat>
            <c:numRef>
              <c:f>'FWHM Centre horizontal 1'!$A$2:$A$6</c:f>
              <c:numCache>
                <c:formatCode>General</c:formatCode>
                <c:ptCount val="5"/>
                <c:pt idx="0">
                  <c:v>-3.3</c:v>
                </c:pt>
                <c:pt idx="1">
                  <c:v>-1.65</c:v>
                </c:pt>
                <c:pt idx="2">
                  <c:v>0</c:v>
                </c:pt>
                <c:pt idx="3">
                  <c:v>1.65</c:v>
                </c:pt>
                <c:pt idx="4">
                  <c:v>3.3</c:v>
                </c:pt>
              </c:numCache>
            </c:numRef>
          </c:cat>
          <c:val>
            <c:numRef>
              <c:f>'FWHM Centre horizontal 1'!$J$2:$J$6</c:f>
              <c:numCache>
                <c:formatCode>0.00</c:formatCode>
                <c:ptCount val="5"/>
                <c:pt idx="0">
                  <c:v>681502.28644686437</c:v>
                </c:pt>
                <c:pt idx="1">
                  <c:v>13202537.945194084</c:v>
                </c:pt>
                <c:pt idx="2">
                  <c:v>31197531.576310441</c:v>
                </c:pt>
                <c:pt idx="3">
                  <c:v>8991988.5044946354</c:v>
                </c:pt>
                <c:pt idx="4">
                  <c:v>316128.72121167619</c:v>
                </c:pt>
              </c:numCache>
            </c:numRef>
          </c:val>
          <c:smooth val="0"/>
          <c:extLst>
            <c:ext xmlns:c16="http://schemas.microsoft.com/office/drawing/2014/chart" uri="{C3380CC4-5D6E-409C-BE32-E72D297353CC}">
              <c16:uniqueId val="{00000001-BA13-4274-AD7A-B0BF870F6C57}"/>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y=E.exp(-(x-mu)²/(2s²)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Vérifier l'allure parabolique</a:t>
            </a:r>
          </a:p>
          <a:p>
            <a:pPr>
              <a:defRPr/>
            </a:pPr>
            <a:r>
              <a:rPr lang="en-US"/>
              <a:t>Sinon, enlever les points de faible activité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spPr>
            <a:ln w="28575" cap="rnd">
              <a:solidFill>
                <a:schemeClr val="accent2"/>
              </a:solidFill>
              <a:round/>
            </a:ln>
            <a:effectLst/>
          </c:spPr>
          <c:marker>
            <c:symbol val="none"/>
          </c:marker>
          <c:cat>
            <c:numRef>
              <c:f>'FWHM Centre horizontal 1'!$A$2:$A$6</c:f>
              <c:numCache>
                <c:formatCode>General</c:formatCode>
                <c:ptCount val="5"/>
                <c:pt idx="0">
                  <c:v>-3.3</c:v>
                </c:pt>
                <c:pt idx="1">
                  <c:v>-1.65</c:v>
                </c:pt>
                <c:pt idx="2">
                  <c:v>0</c:v>
                </c:pt>
                <c:pt idx="3">
                  <c:v>1.65</c:v>
                </c:pt>
                <c:pt idx="4">
                  <c:v>3.3</c:v>
                </c:pt>
              </c:numCache>
            </c:numRef>
          </c:cat>
          <c:val>
            <c:numRef>
              <c:f>'FWHM Centre horizontal 1'!$C$2:$C$6</c:f>
              <c:numCache>
                <c:formatCode>0.00</c:formatCode>
                <c:ptCount val="5"/>
                <c:pt idx="0">
                  <c:v>13.409274935085831</c:v>
                </c:pt>
                <c:pt idx="1">
                  <c:v>16.371116245132292</c:v>
                </c:pt>
                <c:pt idx="2">
                  <c:v>17.466939411351138</c:v>
                </c:pt>
                <c:pt idx="3">
                  <c:v>15.755194794758198</c:v>
                </c:pt>
                <c:pt idx="4">
                  <c:v>12.757047997896315</c:v>
                </c:pt>
              </c:numCache>
            </c:numRef>
          </c:val>
          <c:smooth val="0"/>
          <c:extLst>
            <c:ext xmlns:c16="http://schemas.microsoft.com/office/drawing/2014/chart" uri="{C3380CC4-5D6E-409C-BE32-E72D297353CC}">
              <c16:uniqueId val="{00000000-41CE-4F9E-A721-00982C435486}"/>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ln 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v>y</c:v>
          </c:tx>
          <c:spPr>
            <a:ln w="28575" cap="rnd">
              <a:solidFill>
                <a:schemeClr val="accent2"/>
              </a:solidFill>
              <a:round/>
            </a:ln>
            <a:effectLst/>
          </c:spPr>
          <c:marker>
            <c:symbol val="none"/>
          </c:marker>
          <c:cat>
            <c:numRef>
              <c:f>'FWHM mesurée'!$A$2:$A$6</c:f>
              <c:numCache>
                <c:formatCode>General</c:formatCode>
                <c:ptCount val="5"/>
                <c:pt idx="0">
                  <c:v>-3.3</c:v>
                </c:pt>
                <c:pt idx="1">
                  <c:v>-1.65</c:v>
                </c:pt>
                <c:pt idx="2">
                  <c:v>0</c:v>
                </c:pt>
                <c:pt idx="3">
                  <c:v>1.65</c:v>
                </c:pt>
                <c:pt idx="4">
                  <c:v>3.3</c:v>
                </c:pt>
              </c:numCache>
            </c:numRef>
          </c:cat>
          <c:val>
            <c:numRef>
              <c:f>'FWHM mesurée'!$B$2:$B$6</c:f>
              <c:numCache>
                <c:formatCode>0</c:formatCode>
                <c:ptCount val="5"/>
                <c:pt idx="0">
                  <c:v>296714.21899999998</c:v>
                </c:pt>
                <c:pt idx="1">
                  <c:v>5506899.5</c:v>
                </c:pt>
                <c:pt idx="2">
                  <c:v>27272324</c:v>
                </c:pt>
                <c:pt idx="3">
                  <c:v>12280557</c:v>
                </c:pt>
                <c:pt idx="4">
                  <c:v>685813.5</c:v>
                </c:pt>
              </c:numCache>
            </c:numRef>
          </c:val>
          <c:smooth val="0"/>
          <c:extLst>
            <c:ext xmlns:c16="http://schemas.microsoft.com/office/drawing/2014/chart" uri="{C3380CC4-5D6E-409C-BE32-E72D297353CC}">
              <c16:uniqueId val="{00000000-4695-4069-AF17-FCC025B0425A}"/>
            </c:ext>
          </c:extLst>
        </c:ser>
        <c:ser>
          <c:idx val="0"/>
          <c:order val="1"/>
          <c:tx>
            <c:v>Fit y</c:v>
          </c:tx>
          <c:spPr>
            <a:ln w="28575" cap="rnd">
              <a:solidFill>
                <a:schemeClr val="accent1"/>
              </a:solidFill>
              <a:round/>
            </a:ln>
            <a:effectLst/>
          </c:spPr>
          <c:marker>
            <c:symbol val="none"/>
          </c:marker>
          <c:cat>
            <c:numRef>
              <c:f>'FWHM mesurée'!$A$2:$A$6</c:f>
              <c:numCache>
                <c:formatCode>General</c:formatCode>
                <c:ptCount val="5"/>
                <c:pt idx="0">
                  <c:v>-3.3</c:v>
                </c:pt>
                <c:pt idx="1">
                  <c:v>-1.65</c:v>
                </c:pt>
                <c:pt idx="2">
                  <c:v>0</c:v>
                </c:pt>
                <c:pt idx="3">
                  <c:v>1.65</c:v>
                </c:pt>
                <c:pt idx="4">
                  <c:v>3.3</c:v>
                </c:pt>
              </c:numCache>
            </c:numRef>
          </c:cat>
          <c:val>
            <c:numRef>
              <c:f>'FWHM mesurée'!$J$2:$J$6</c:f>
              <c:numCache>
                <c:formatCode>0.00</c:formatCode>
                <c:ptCount val="5"/>
                <c:pt idx="0">
                  <c:v>269437.20566227339</c:v>
                </c:pt>
                <c:pt idx="1">
                  <c:v>6948314.8835801901</c:v>
                </c:pt>
                <c:pt idx="2">
                  <c:v>24215301.677962661</c:v>
                </c:pt>
                <c:pt idx="3">
                  <c:v>11404828.076427424</c:v>
                </c:pt>
                <c:pt idx="4">
                  <c:v>725898.78300895251</c:v>
                </c:pt>
              </c:numCache>
            </c:numRef>
          </c:val>
          <c:smooth val="0"/>
          <c:extLst>
            <c:ext xmlns:c16="http://schemas.microsoft.com/office/drawing/2014/chart" uri="{C3380CC4-5D6E-409C-BE32-E72D297353CC}">
              <c16:uniqueId val="{00000001-4695-4069-AF17-FCC025B0425A}"/>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y=E.exp(-(x-mu)²/(2s²)</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Vérifier l'allure parabolique</a:t>
            </a:r>
          </a:p>
          <a:p>
            <a:pPr>
              <a:defRPr/>
            </a:pPr>
            <a:r>
              <a:rPr lang="en-US"/>
              <a:t>Sinon, enlever les points de faible activité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spPr>
            <a:ln w="28575" cap="rnd">
              <a:solidFill>
                <a:schemeClr val="accent2"/>
              </a:solidFill>
              <a:round/>
            </a:ln>
            <a:effectLst/>
          </c:spPr>
          <c:marker>
            <c:symbol val="none"/>
          </c:marker>
          <c:cat>
            <c:numRef>
              <c:f>'FWHM mesurée'!$A$2:$A$6</c:f>
              <c:numCache>
                <c:formatCode>General</c:formatCode>
                <c:ptCount val="5"/>
                <c:pt idx="0">
                  <c:v>-3.3</c:v>
                </c:pt>
                <c:pt idx="1">
                  <c:v>-1.65</c:v>
                </c:pt>
                <c:pt idx="2">
                  <c:v>0</c:v>
                </c:pt>
                <c:pt idx="3">
                  <c:v>1.65</c:v>
                </c:pt>
                <c:pt idx="4">
                  <c:v>3.3</c:v>
                </c:pt>
              </c:numCache>
            </c:numRef>
          </c:cat>
          <c:val>
            <c:numRef>
              <c:f>'FWHM mesurée'!$C$2:$C$6</c:f>
              <c:numCache>
                <c:formatCode>0.00</c:formatCode>
                <c:ptCount val="5"/>
                <c:pt idx="0">
                  <c:v>12.600524728959387</c:v>
                </c:pt>
                <c:pt idx="1">
                  <c:v>15.521512318577459</c:v>
                </c:pt>
                <c:pt idx="2">
                  <c:v>17.121382973046114</c:v>
                </c:pt>
                <c:pt idx="3">
                  <c:v>16.323527837960803</c:v>
                </c:pt>
                <c:pt idx="4">
                  <c:v>13.43836100385658</c:v>
                </c:pt>
              </c:numCache>
            </c:numRef>
          </c:val>
          <c:smooth val="0"/>
          <c:extLst>
            <c:ext xmlns:c16="http://schemas.microsoft.com/office/drawing/2014/chart" uri="{C3380CC4-5D6E-409C-BE32-E72D297353CC}">
              <c16:uniqueId val="{00000001-F0D0-4EB7-A9B4-92C81CD4CC8E}"/>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ln 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00953871252352"/>
          <c:y val="5.5555555555555552E-2"/>
          <c:w val="0.81326785526016432"/>
          <c:h val="0.69730643044619423"/>
        </c:manualLayout>
      </c:layout>
      <c:lineChart>
        <c:grouping val="standard"/>
        <c:varyColors val="0"/>
        <c:ser>
          <c:idx val="1"/>
          <c:order val="0"/>
          <c:tx>
            <c:v>Données bruitées</c:v>
          </c:tx>
          <c:spPr>
            <a:ln w="28575" cap="rnd">
              <a:solidFill>
                <a:schemeClr val="accent2"/>
              </a:solidFill>
              <a:round/>
            </a:ln>
            <a:effectLst/>
          </c:spPr>
          <c:marker>
            <c:symbol val="none"/>
          </c:marker>
          <c:cat>
            <c:numRef>
              <c:f>'Validation sur modèle de Gauss'!$A$2:$A$34</c:f>
              <c:numCache>
                <c:formatCode>0.00</c:formatCode>
                <c:ptCount val="33"/>
                <c:pt idx="0">
                  <c:v>-1.6</c:v>
                </c:pt>
                <c:pt idx="1">
                  <c:v>-1.5</c:v>
                </c:pt>
                <c:pt idx="2">
                  <c:v>-1.4</c:v>
                </c:pt>
                <c:pt idx="3">
                  <c:v>-1.2999999999999998</c:v>
                </c:pt>
                <c:pt idx="4">
                  <c:v>-1.1999999999999997</c:v>
                </c:pt>
                <c:pt idx="5">
                  <c:v>-1.0999999999999996</c:v>
                </c:pt>
                <c:pt idx="6">
                  <c:v>-0.99999999999999967</c:v>
                </c:pt>
                <c:pt idx="7">
                  <c:v>-0.89999999999999969</c:v>
                </c:pt>
                <c:pt idx="8">
                  <c:v>-0.79999999999999971</c:v>
                </c:pt>
                <c:pt idx="9">
                  <c:v>-0.69999999999999973</c:v>
                </c:pt>
                <c:pt idx="10">
                  <c:v>-0.59999999999999976</c:v>
                </c:pt>
                <c:pt idx="11">
                  <c:v>-0.49999999999999978</c:v>
                </c:pt>
                <c:pt idx="12">
                  <c:v>-0.3999999999999998</c:v>
                </c:pt>
                <c:pt idx="13">
                  <c:v>-0.29999999999999982</c:v>
                </c:pt>
                <c:pt idx="14">
                  <c:v>-0.19999999999999982</c:v>
                </c:pt>
                <c:pt idx="15">
                  <c:v>-9.9999999999999811E-2</c:v>
                </c:pt>
                <c:pt idx="16">
                  <c:v>0</c:v>
                </c:pt>
                <c:pt idx="17">
                  <c:v>0.1</c:v>
                </c:pt>
                <c:pt idx="18">
                  <c:v>0.2</c:v>
                </c:pt>
                <c:pt idx="19">
                  <c:v>0.30000000000000004</c:v>
                </c:pt>
                <c:pt idx="20">
                  <c:v>0.4</c:v>
                </c:pt>
                <c:pt idx="21">
                  <c:v>0.5</c:v>
                </c:pt>
                <c:pt idx="22">
                  <c:v>0.6</c:v>
                </c:pt>
                <c:pt idx="23">
                  <c:v>0.7</c:v>
                </c:pt>
                <c:pt idx="24">
                  <c:v>0.79999999999999993</c:v>
                </c:pt>
                <c:pt idx="25">
                  <c:v>0.89999999999999991</c:v>
                </c:pt>
                <c:pt idx="26">
                  <c:v>0.99999999999999989</c:v>
                </c:pt>
                <c:pt idx="27">
                  <c:v>1.0999999999999999</c:v>
                </c:pt>
                <c:pt idx="28">
                  <c:v>1.2</c:v>
                </c:pt>
                <c:pt idx="29">
                  <c:v>1.3</c:v>
                </c:pt>
                <c:pt idx="30">
                  <c:v>1.4000000000000001</c:v>
                </c:pt>
                <c:pt idx="31">
                  <c:v>1.5000000000000002</c:v>
                </c:pt>
                <c:pt idx="32">
                  <c:v>1.6000000000000003</c:v>
                </c:pt>
              </c:numCache>
            </c:numRef>
          </c:cat>
          <c:val>
            <c:numRef>
              <c:f>'Validation sur modèle de Gauss'!$B$2:$B$34</c:f>
              <c:numCache>
                <c:formatCode>0.00</c:formatCode>
                <c:ptCount val="33"/>
                <c:pt idx="0">
                  <c:v>0.28303730045319409</c:v>
                </c:pt>
                <c:pt idx="1">
                  <c:v>0.22565246735834973</c:v>
                </c:pt>
                <c:pt idx="2">
                  <c:v>0.45831109885139959</c:v>
                </c:pt>
                <c:pt idx="3">
                  <c:v>0.49355735821073926</c:v>
                </c:pt>
                <c:pt idx="4">
                  <c:v>0.58675225595997182</c:v>
                </c:pt>
                <c:pt idx="5">
                  <c:v>0.45207442663970965</c:v>
                </c:pt>
                <c:pt idx="6">
                  <c:v>0.54453065971263359</c:v>
                </c:pt>
                <c:pt idx="7">
                  <c:v>0.71397681085847464</c:v>
                </c:pt>
                <c:pt idx="8">
                  <c:v>0.70814903707369103</c:v>
                </c:pt>
                <c:pt idx="9">
                  <c:v>0.84770453824186842</c:v>
                </c:pt>
                <c:pt idx="10">
                  <c:v>0.92627021141127208</c:v>
                </c:pt>
                <c:pt idx="11">
                  <c:v>0.94649690258459551</c:v>
                </c:pt>
                <c:pt idx="12">
                  <c:v>0.8321163463866359</c:v>
                </c:pt>
                <c:pt idx="13">
                  <c:v>0.95499748183309996</c:v>
                </c:pt>
                <c:pt idx="14">
                  <c:v>0.88719867330675539</c:v>
                </c:pt>
                <c:pt idx="15">
                  <c:v>1.0370124791926822</c:v>
                </c:pt>
                <c:pt idx="16">
                  <c:v>1.0900000000000001</c:v>
                </c:pt>
                <c:pt idx="17">
                  <c:v>0.89801247919268234</c:v>
                </c:pt>
                <c:pt idx="18">
                  <c:v>1.0291986733067553</c:v>
                </c:pt>
                <c:pt idx="19">
                  <c:v>1.0259974818330999</c:v>
                </c:pt>
                <c:pt idx="20">
                  <c:v>0.90011634638663574</c:v>
                </c:pt>
                <c:pt idx="21">
                  <c:v>0.87749690258459545</c:v>
                </c:pt>
                <c:pt idx="22">
                  <c:v>0.74327021141127203</c:v>
                </c:pt>
                <c:pt idx="23">
                  <c:v>0.74470453824186811</c:v>
                </c:pt>
                <c:pt idx="24">
                  <c:v>0.70814903707369092</c:v>
                </c:pt>
                <c:pt idx="25">
                  <c:v>0.65097681085847448</c:v>
                </c:pt>
                <c:pt idx="26">
                  <c:v>0.66053065971263358</c:v>
                </c:pt>
                <c:pt idx="27">
                  <c:v>0.60107442663970956</c:v>
                </c:pt>
                <c:pt idx="28">
                  <c:v>0.49275225595997169</c:v>
                </c:pt>
                <c:pt idx="29">
                  <c:v>0.35155735821073908</c:v>
                </c:pt>
                <c:pt idx="30">
                  <c:v>0.44331109885139947</c:v>
                </c:pt>
                <c:pt idx="31">
                  <c:v>0.33465246735834958</c:v>
                </c:pt>
                <c:pt idx="32">
                  <c:v>0.33403730045319402</c:v>
                </c:pt>
              </c:numCache>
            </c:numRef>
          </c:val>
          <c:smooth val="0"/>
          <c:extLst>
            <c:ext xmlns:c16="http://schemas.microsoft.com/office/drawing/2014/chart" uri="{C3380CC4-5D6E-409C-BE32-E72D297353CC}">
              <c16:uniqueId val="{00000000-8C92-4D3B-89BB-D1342D88061E}"/>
            </c:ext>
          </c:extLst>
        </c:ser>
        <c:ser>
          <c:idx val="0"/>
          <c:order val="1"/>
          <c:tx>
            <c:v>FIT</c:v>
          </c:tx>
          <c:spPr>
            <a:ln w="50800" cap="rnd">
              <a:solidFill>
                <a:schemeClr val="accent1"/>
              </a:solidFill>
              <a:prstDash val="sysDot"/>
              <a:round/>
            </a:ln>
            <a:effectLst/>
          </c:spPr>
          <c:marker>
            <c:symbol val="none"/>
          </c:marker>
          <c:val>
            <c:numRef>
              <c:f>'Validation sur modèle de Gauss'!$T$2:$T$34</c:f>
              <c:numCache>
                <c:formatCode>0.00</c:formatCode>
                <c:ptCount val="33"/>
                <c:pt idx="0">
                  <c:v>0.28113290815289332</c:v>
                </c:pt>
                <c:pt idx="1">
                  <c:v>0.32718959843176559</c:v>
                </c:pt>
                <c:pt idx="2">
                  <c:v>0.37711429378033107</c:v>
                </c:pt>
                <c:pt idx="3">
                  <c:v>0.43045940434896718</c:v>
                </c:pt>
                <c:pt idx="4">
                  <c:v>0.48660560658685759</c:v>
                </c:pt>
                <c:pt idx="5">
                  <c:v>0.54476314453945973</c:v>
                </c:pt>
                <c:pt idx="6">
                  <c:v>0.60398204635427488</c:v>
                </c:pt>
                <c:pt idx="7">
                  <c:v>0.6631717868098288</c:v>
                </c:pt>
                <c:pt idx="8">
                  <c:v>0.72113032008855271</c:v>
                </c:pt>
                <c:pt idx="9">
                  <c:v>0.77658173455672319</c:v>
                </c:pt>
                <c:pt idx="10">
                  <c:v>0.82822109658907728</c:v>
                </c:pt>
                <c:pt idx="11">
                  <c:v>0.87476441408668248</c:v>
                </c:pt>
                <c:pt idx="12">
                  <c:v>0.91500112394533173</c:v>
                </c:pt>
                <c:pt idx="13">
                  <c:v>0.94784614739951634</c:v>
                </c:pt>
                <c:pt idx="14">
                  <c:v>0.97238840678947625</c:v>
                </c:pt>
                <c:pt idx="15">
                  <c:v>0.98793278298057796</c:v>
                </c:pt>
                <c:pt idx="16">
                  <c:v>0.9940328188200579</c:v>
                </c:pt>
                <c:pt idx="17">
                  <c:v>0.99051202179872433</c:v>
                </c:pt>
                <c:pt idx="18">
                  <c:v>0.97747234745627498</c:v>
                </c:pt>
                <c:pt idx="19">
                  <c:v>0.95528929448576694</c:v>
                </c:pt>
                <c:pt idx="20">
                  <c:v>0.9245939408281858</c:v>
                </c:pt>
                <c:pt idx="21">
                  <c:v>0.88624312005127981</c:v>
                </c:pt>
                <c:pt idx="22">
                  <c:v>0.84127970469703872</c:v>
                </c:pt>
                <c:pt idx="23">
                  <c:v>0.7908855644750018</c:v>
                </c:pt>
                <c:pt idx="24">
                  <c:v>0.73633015569907512</c:v>
                </c:pt>
                <c:pt idx="25">
                  <c:v>0.67891784918650966</c:v>
                </c:pt>
                <c:pt idx="26">
                  <c:v>0.6199370151712208</c:v>
                </c:pt>
                <c:pt idx="27">
                  <c:v>0.56061357620157948</c:v>
                </c:pt>
                <c:pt idx="28">
                  <c:v>0.50207125210444137</c:v>
                </c:pt>
                <c:pt idx="29">
                  <c:v>0.44530010831623362</c:v>
                </c:pt>
                <c:pt idx="30">
                  <c:v>0.39113434103035555</c:v>
                </c:pt>
                <c:pt idx="31">
                  <c:v>0.34023955120355065</c:v>
                </c:pt>
                <c:pt idx="32">
                  <c:v>0.29310913049918874</c:v>
                </c:pt>
              </c:numCache>
            </c:numRef>
          </c:val>
          <c:smooth val="0"/>
          <c:extLst>
            <c:ext xmlns:c16="http://schemas.microsoft.com/office/drawing/2014/chart" uri="{C3380CC4-5D6E-409C-BE32-E72D297353CC}">
              <c16:uniqueId val="{00000000-8B74-431F-9648-8A19A522097F}"/>
            </c:ext>
          </c:extLst>
        </c:ser>
        <c:ser>
          <c:idx val="2"/>
          <c:order val="2"/>
          <c:tx>
            <c:v>Données non bruitées</c:v>
          </c:tx>
          <c:spPr>
            <a:ln w="15875" cap="rnd">
              <a:solidFill>
                <a:schemeClr val="accent3"/>
              </a:solidFill>
              <a:round/>
            </a:ln>
            <a:effectLst/>
          </c:spPr>
          <c:marker>
            <c:symbol val="none"/>
          </c:marker>
          <c:val>
            <c:numRef>
              <c:f>'Validation sur modèle de Gauss'!$D$2:$D$34</c:f>
              <c:numCache>
                <c:formatCode>0.00</c:formatCode>
                <c:ptCount val="33"/>
                <c:pt idx="0">
                  <c:v>0.27803730045319408</c:v>
                </c:pt>
                <c:pt idx="1">
                  <c:v>0.32465246735834974</c:v>
                </c:pt>
                <c:pt idx="2">
                  <c:v>0.37531109885139957</c:v>
                </c:pt>
                <c:pt idx="3">
                  <c:v>0.42955735821073926</c:v>
                </c:pt>
                <c:pt idx="4">
                  <c:v>0.48675225595997185</c:v>
                </c:pt>
                <c:pt idx="5">
                  <c:v>0.54607442663970962</c:v>
                </c:pt>
                <c:pt idx="6">
                  <c:v>0.60653065971263365</c:v>
                </c:pt>
                <c:pt idx="7">
                  <c:v>0.6669768108584746</c:v>
                </c:pt>
                <c:pt idx="8">
                  <c:v>0.72614903707369105</c:v>
                </c:pt>
                <c:pt idx="9">
                  <c:v>0.78270453824186836</c:v>
                </c:pt>
                <c:pt idx="10">
                  <c:v>0.83527021141127211</c:v>
                </c:pt>
                <c:pt idx="11">
                  <c:v>0.88249690258459546</c:v>
                </c:pt>
                <c:pt idx="12">
                  <c:v>0.92311634638663587</c:v>
                </c:pt>
                <c:pt idx="13">
                  <c:v>0.95599748183309996</c:v>
                </c:pt>
                <c:pt idx="14">
                  <c:v>0.98019867330675536</c:v>
                </c:pt>
                <c:pt idx="15">
                  <c:v>0.99501247919268232</c:v>
                </c:pt>
                <c:pt idx="16">
                  <c:v>1</c:v>
                </c:pt>
                <c:pt idx="17">
                  <c:v>0.99501247919268232</c:v>
                </c:pt>
                <c:pt idx="18">
                  <c:v>0.98019867330675525</c:v>
                </c:pt>
                <c:pt idx="19">
                  <c:v>0.95599748183309985</c:v>
                </c:pt>
                <c:pt idx="20">
                  <c:v>0.92311634638663576</c:v>
                </c:pt>
                <c:pt idx="21">
                  <c:v>0.88249690258459546</c:v>
                </c:pt>
                <c:pt idx="22">
                  <c:v>0.835270211411272</c:v>
                </c:pt>
                <c:pt idx="23">
                  <c:v>0.78270453824186814</c:v>
                </c:pt>
                <c:pt idx="24">
                  <c:v>0.72614903707369094</c:v>
                </c:pt>
                <c:pt idx="25">
                  <c:v>0.66697681085847449</c:v>
                </c:pt>
                <c:pt idx="26">
                  <c:v>0.60653065971263354</c:v>
                </c:pt>
                <c:pt idx="27">
                  <c:v>0.54607442663970951</c:v>
                </c:pt>
                <c:pt idx="28">
                  <c:v>0.48675225595997168</c:v>
                </c:pt>
                <c:pt idx="29">
                  <c:v>0.42955735821073909</c:v>
                </c:pt>
                <c:pt idx="30">
                  <c:v>0.37531109885139946</c:v>
                </c:pt>
                <c:pt idx="31">
                  <c:v>0.32465246735834957</c:v>
                </c:pt>
                <c:pt idx="32">
                  <c:v>0.27803730045319403</c:v>
                </c:pt>
              </c:numCache>
            </c:numRef>
          </c:val>
          <c:smooth val="0"/>
          <c:extLst>
            <c:ext xmlns:c16="http://schemas.microsoft.com/office/drawing/2014/chart" uri="{C3380CC4-5D6E-409C-BE32-E72D297353CC}">
              <c16:uniqueId val="{00000000-5209-4306-A50D-11D11411EB75}"/>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y=A.exp(-(x-</a:t>
                </a:r>
                <a:r>
                  <a:rPr lang="fr-FR">
                    <a:latin typeface="Symbol" panose="05050102010706020507" pitchFamily="18" charset="2"/>
                  </a:rPr>
                  <a:t>m</a:t>
                </a:r>
                <a:r>
                  <a:rPr lang="fr-FR"/>
                  <a:t>)²/(</a:t>
                </a:r>
                <a:r>
                  <a:rPr lang="fr-FR">
                    <a:latin typeface="Symbol" panose="05050102010706020507" pitchFamily="18" charset="2"/>
                  </a:rPr>
                  <a:t>2s</a:t>
                </a:r>
                <a:r>
                  <a:rPr lang="fr-FR">
                    <a:latin typeface="+mj-lt"/>
                  </a:rPr>
                  <a:t>²</a:t>
                </a:r>
                <a:r>
                  <a:rPr lang="fr-F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Parabole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1"/>
          <c:order val="0"/>
          <c:spPr>
            <a:ln w="28575" cap="rnd">
              <a:solidFill>
                <a:schemeClr val="accent2"/>
              </a:solidFill>
              <a:round/>
            </a:ln>
            <a:effectLst/>
          </c:spPr>
          <c:marker>
            <c:symbol val="none"/>
          </c:marker>
          <c:cat>
            <c:numRef>
              <c:f>'Validation sur modèle de Gauss'!$A$2:$A$34</c:f>
              <c:numCache>
                <c:formatCode>0.00</c:formatCode>
                <c:ptCount val="33"/>
                <c:pt idx="0">
                  <c:v>-1.6</c:v>
                </c:pt>
                <c:pt idx="1">
                  <c:v>-1.5</c:v>
                </c:pt>
                <c:pt idx="2">
                  <c:v>-1.4</c:v>
                </c:pt>
                <c:pt idx="3">
                  <c:v>-1.2999999999999998</c:v>
                </c:pt>
                <c:pt idx="4">
                  <c:v>-1.1999999999999997</c:v>
                </c:pt>
                <c:pt idx="5">
                  <c:v>-1.0999999999999996</c:v>
                </c:pt>
                <c:pt idx="6">
                  <c:v>-0.99999999999999967</c:v>
                </c:pt>
                <c:pt idx="7">
                  <c:v>-0.89999999999999969</c:v>
                </c:pt>
                <c:pt idx="8">
                  <c:v>-0.79999999999999971</c:v>
                </c:pt>
                <c:pt idx="9">
                  <c:v>-0.69999999999999973</c:v>
                </c:pt>
                <c:pt idx="10">
                  <c:v>-0.59999999999999976</c:v>
                </c:pt>
                <c:pt idx="11">
                  <c:v>-0.49999999999999978</c:v>
                </c:pt>
                <c:pt idx="12">
                  <c:v>-0.3999999999999998</c:v>
                </c:pt>
                <c:pt idx="13">
                  <c:v>-0.29999999999999982</c:v>
                </c:pt>
                <c:pt idx="14">
                  <c:v>-0.19999999999999982</c:v>
                </c:pt>
                <c:pt idx="15">
                  <c:v>-9.9999999999999811E-2</c:v>
                </c:pt>
                <c:pt idx="16">
                  <c:v>0</c:v>
                </c:pt>
                <c:pt idx="17">
                  <c:v>0.1</c:v>
                </c:pt>
                <c:pt idx="18">
                  <c:v>0.2</c:v>
                </c:pt>
                <c:pt idx="19">
                  <c:v>0.30000000000000004</c:v>
                </c:pt>
                <c:pt idx="20">
                  <c:v>0.4</c:v>
                </c:pt>
                <c:pt idx="21">
                  <c:v>0.5</c:v>
                </c:pt>
                <c:pt idx="22">
                  <c:v>0.6</c:v>
                </c:pt>
                <c:pt idx="23">
                  <c:v>0.7</c:v>
                </c:pt>
                <c:pt idx="24">
                  <c:v>0.79999999999999993</c:v>
                </c:pt>
                <c:pt idx="25">
                  <c:v>0.89999999999999991</c:v>
                </c:pt>
                <c:pt idx="26">
                  <c:v>0.99999999999999989</c:v>
                </c:pt>
                <c:pt idx="27">
                  <c:v>1.0999999999999999</c:v>
                </c:pt>
                <c:pt idx="28">
                  <c:v>1.2</c:v>
                </c:pt>
                <c:pt idx="29">
                  <c:v>1.3</c:v>
                </c:pt>
                <c:pt idx="30">
                  <c:v>1.4000000000000001</c:v>
                </c:pt>
                <c:pt idx="31">
                  <c:v>1.5000000000000002</c:v>
                </c:pt>
                <c:pt idx="32">
                  <c:v>1.6000000000000003</c:v>
                </c:pt>
              </c:numCache>
            </c:numRef>
          </c:cat>
          <c:val>
            <c:numRef>
              <c:f>'Validation sur modèle de Gauss'!$E$2:$E$34</c:f>
              <c:numCache>
                <c:formatCode>0.00</c:formatCode>
                <c:ptCount val="33"/>
                <c:pt idx="0">
                  <c:v>-1.2621765863027128</c:v>
                </c:pt>
                <c:pt idx="1">
                  <c:v>-1.488759218320205</c:v>
                </c:pt>
                <c:pt idx="2">
                  <c:v>-0.78020707032324699</c:v>
                </c:pt>
                <c:pt idx="3">
                  <c:v>-0.70611619948509452</c:v>
                </c:pt>
                <c:pt idx="4">
                  <c:v>-0.53315259941822202</c:v>
                </c:pt>
                <c:pt idx="5">
                  <c:v>-0.79390845199766991</c:v>
                </c:pt>
                <c:pt idx="6">
                  <c:v>-0.60783103018217555</c:v>
                </c:pt>
                <c:pt idx="7">
                  <c:v>-0.33690479495921871</c:v>
                </c:pt>
                <c:pt idx="8">
                  <c:v>-0.34510070309997581</c:v>
                </c:pt>
                <c:pt idx="9">
                  <c:v>-0.16522312578783083</c:v>
                </c:pt>
                <c:pt idx="10">
                  <c:v>-7.658928192297472E-2</c:v>
                </c:pt>
                <c:pt idx="11">
                  <c:v>-5.4987580831938207E-2</c:v>
                </c:pt>
                <c:pt idx="12">
                  <c:v>-0.18378300853053262</c:v>
                </c:pt>
                <c:pt idx="13">
                  <c:v>-4.6046575328862333E-2</c:v>
                </c:pt>
                <c:pt idx="14">
                  <c:v>-0.11968633831820312</c:v>
                </c:pt>
                <c:pt idx="15">
                  <c:v>3.6343963111995808E-2</c:v>
                </c:pt>
                <c:pt idx="16">
                  <c:v>8.6177696241052412E-2</c:v>
                </c:pt>
                <c:pt idx="17">
                  <c:v>-0.10757131412540108</c:v>
                </c:pt>
                <c:pt idx="18">
                  <c:v>2.87805123717212E-2</c:v>
                </c:pt>
                <c:pt idx="19">
                  <c:v>2.566529239186207E-2</c:v>
                </c:pt>
                <c:pt idx="20">
                  <c:v>-0.10523125025003054</c:v>
                </c:pt>
                <c:pt idx="21">
                  <c:v>-0.13068185346647085</c:v>
                </c:pt>
                <c:pt idx="22">
                  <c:v>-0.29669562418570644</c:v>
                </c:pt>
                <c:pt idx="23">
                  <c:v>-0.2947677322303015</c:v>
                </c:pt>
                <c:pt idx="24">
                  <c:v>-0.34510070309997598</c:v>
                </c:pt>
                <c:pt idx="25">
                  <c:v>-0.42928125820911811</c:v>
                </c:pt>
                <c:pt idx="26">
                  <c:v>-0.41471173715289883</c:v>
                </c:pt>
                <c:pt idx="27">
                  <c:v>-0.5090365141113774</c:v>
                </c:pt>
                <c:pt idx="28">
                  <c:v>-0.70774875465441667</c:v>
                </c:pt>
                <c:pt idx="29">
                  <c:v>-1.0453823997901492</c:v>
                </c:pt>
                <c:pt idx="30">
                  <c:v>-0.8134835006589175</c:v>
                </c:pt>
                <c:pt idx="31">
                  <c:v>-1.0946626965107771</c:v>
                </c:pt>
                <c:pt idx="32">
                  <c:v>-1.0965026142373857</c:v>
                </c:pt>
              </c:numCache>
            </c:numRef>
          </c:val>
          <c:smooth val="0"/>
          <c:extLst>
            <c:ext xmlns:c16="http://schemas.microsoft.com/office/drawing/2014/chart" uri="{C3380CC4-5D6E-409C-BE32-E72D297353CC}">
              <c16:uniqueId val="{00000001-CC88-4D7D-980E-61030382E871}"/>
            </c:ext>
          </c:extLst>
        </c:ser>
        <c:dLbls>
          <c:showLegendKey val="0"/>
          <c:showVal val="0"/>
          <c:showCatName val="0"/>
          <c:showSerName val="0"/>
          <c:showPercent val="0"/>
          <c:showBubbleSize val="0"/>
        </c:dLbls>
        <c:smooth val="0"/>
        <c:axId val="1426365296"/>
        <c:axId val="1426368176"/>
      </c:lineChart>
      <c:catAx>
        <c:axId val="14263652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x</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8176"/>
        <c:crosses val="autoZero"/>
        <c:auto val="1"/>
        <c:lblAlgn val="ctr"/>
        <c:lblOffset val="100"/>
        <c:noMultiLvlLbl val="0"/>
      </c:catAx>
      <c:valAx>
        <c:axId val="1426368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ln y</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26365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18</xdr:col>
      <xdr:colOff>695325</xdr:colOff>
      <xdr:row>1</xdr:row>
      <xdr:rowOff>33337</xdr:rowOff>
    </xdr:from>
    <xdr:to>
      <xdr:col>24</xdr:col>
      <xdr:colOff>695325</xdr:colOff>
      <xdr:row>15</xdr:row>
      <xdr:rowOff>109537</xdr:rowOff>
    </xdr:to>
    <xdr:graphicFrame macro="">
      <xdr:nvGraphicFramePr>
        <xdr:cNvPr id="2" name="Graphique 1">
          <a:extLst>
            <a:ext uri="{FF2B5EF4-FFF2-40B4-BE49-F238E27FC236}">
              <a16:creationId xmlns:a16="http://schemas.microsoft.com/office/drawing/2014/main" id="{A344805A-F2CA-42FB-AAE5-3030AF3C12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676275</xdr:colOff>
      <xdr:row>16</xdr:row>
      <xdr:rowOff>19050</xdr:rowOff>
    </xdr:from>
    <xdr:to>
      <xdr:col>24</xdr:col>
      <xdr:colOff>676275</xdr:colOff>
      <xdr:row>30</xdr:row>
      <xdr:rowOff>95250</xdr:rowOff>
    </xdr:to>
    <xdr:graphicFrame macro="">
      <xdr:nvGraphicFramePr>
        <xdr:cNvPr id="3" name="Graphique 2">
          <a:extLst>
            <a:ext uri="{FF2B5EF4-FFF2-40B4-BE49-F238E27FC236}">
              <a16:creationId xmlns:a16="http://schemas.microsoft.com/office/drawing/2014/main" id="{0C665E4B-8397-4382-BC1B-90BFD304C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695325</xdr:colOff>
      <xdr:row>1</xdr:row>
      <xdr:rowOff>33337</xdr:rowOff>
    </xdr:from>
    <xdr:to>
      <xdr:col>24</xdr:col>
      <xdr:colOff>695325</xdr:colOff>
      <xdr:row>15</xdr:row>
      <xdr:rowOff>109537</xdr:rowOff>
    </xdr:to>
    <xdr:graphicFrame macro="">
      <xdr:nvGraphicFramePr>
        <xdr:cNvPr id="2" name="Graphique 1">
          <a:extLst>
            <a:ext uri="{FF2B5EF4-FFF2-40B4-BE49-F238E27FC236}">
              <a16:creationId xmlns:a16="http://schemas.microsoft.com/office/drawing/2014/main" id="{634A4439-5484-4CAC-B7CE-7DDDCA4B4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676275</xdr:colOff>
      <xdr:row>16</xdr:row>
      <xdr:rowOff>19050</xdr:rowOff>
    </xdr:from>
    <xdr:to>
      <xdr:col>24</xdr:col>
      <xdr:colOff>676275</xdr:colOff>
      <xdr:row>30</xdr:row>
      <xdr:rowOff>95250</xdr:rowOff>
    </xdr:to>
    <xdr:graphicFrame macro="">
      <xdr:nvGraphicFramePr>
        <xdr:cNvPr id="3" name="Graphique 2">
          <a:extLst>
            <a:ext uri="{FF2B5EF4-FFF2-40B4-BE49-F238E27FC236}">
              <a16:creationId xmlns:a16="http://schemas.microsoft.com/office/drawing/2014/main" id="{5ECB4B24-1F23-4B59-BDA6-A410FD73D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28575</xdr:colOff>
      <xdr:row>1</xdr:row>
      <xdr:rowOff>0</xdr:rowOff>
    </xdr:from>
    <xdr:to>
      <xdr:col>25</xdr:col>
      <xdr:colOff>723900</xdr:colOff>
      <xdr:row>15</xdr:row>
      <xdr:rowOff>80962</xdr:rowOff>
    </xdr:to>
    <xdr:graphicFrame macro="">
      <xdr:nvGraphicFramePr>
        <xdr:cNvPr id="2" name="Graphique 1">
          <a:extLst>
            <a:ext uri="{FF2B5EF4-FFF2-40B4-BE49-F238E27FC236}">
              <a16:creationId xmlns:a16="http://schemas.microsoft.com/office/drawing/2014/main" id="{DBB9DD19-5A70-433E-9CFA-7815A5FF04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xdr:colOff>
      <xdr:row>15</xdr:row>
      <xdr:rowOff>133350</xdr:rowOff>
    </xdr:from>
    <xdr:to>
      <xdr:col>25</xdr:col>
      <xdr:colOff>742950</xdr:colOff>
      <xdr:row>30</xdr:row>
      <xdr:rowOff>19050</xdr:rowOff>
    </xdr:to>
    <xdr:graphicFrame macro="">
      <xdr:nvGraphicFramePr>
        <xdr:cNvPr id="3" name="Graphique 2">
          <a:extLst>
            <a:ext uri="{FF2B5EF4-FFF2-40B4-BE49-F238E27FC236}">
              <a16:creationId xmlns:a16="http://schemas.microsoft.com/office/drawing/2014/main" id="{A2503775-397B-4919-8AB0-EDBF409D7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5A898-2471-45E2-9A75-7FDB0D02F46C}">
  <dimension ref="A1:Y45"/>
  <sheetViews>
    <sheetView zoomScale="85" zoomScaleNormal="85" workbookViewId="0">
      <selection activeCell="Q43" sqref="Q43"/>
    </sheetView>
  </sheetViews>
  <sheetFormatPr baseColWidth="10" defaultRowHeight="15" x14ac:dyDescent="0.25"/>
  <cols>
    <col min="1" max="1" width="7.5703125" style="11" customWidth="1"/>
    <col min="2" max="2" width="13.5703125" style="11" customWidth="1"/>
    <col min="3" max="3" width="7.85546875" style="2" customWidth="1"/>
    <col min="4" max="4" width="9.5703125" style="2" customWidth="1"/>
    <col min="5" max="5" width="12" style="2" customWidth="1"/>
    <col min="6" max="6" width="12.28515625" style="2" customWidth="1"/>
    <col min="7" max="7" width="8.28515625" style="2" customWidth="1"/>
    <col min="8" max="8" width="11.140625" style="2" customWidth="1"/>
    <col min="9" max="9" width="2" style="2" customWidth="1"/>
    <col min="10" max="10" width="15.140625" style="2" customWidth="1"/>
    <col min="11" max="11" width="1.28515625" style="2" customWidth="1"/>
    <col min="12" max="12" width="12.42578125" customWidth="1"/>
    <col min="13" max="13" width="13" customWidth="1"/>
    <col min="14" max="14" width="14.42578125" customWidth="1"/>
    <col min="15" max="15" width="2.85546875" customWidth="1"/>
    <col min="16" max="16" width="13.42578125" customWidth="1"/>
    <col min="17" max="17" width="7.5703125" customWidth="1"/>
    <col min="18" max="18" width="12.5703125" customWidth="1"/>
    <col min="19" max="19" width="1.28515625" customWidth="1"/>
  </cols>
  <sheetData>
    <row r="1" spans="1:18" ht="15.75" thickBot="1" x14ac:dyDescent="0.3">
      <c r="A1" s="58" t="s">
        <v>1</v>
      </c>
      <c r="B1" s="58" t="s">
        <v>2</v>
      </c>
      <c r="C1" s="59" t="s">
        <v>3</v>
      </c>
      <c r="D1" s="59" t="s">
        <v>9</v>
      </c>
      <c r="E1" s="59" t="s">
        <v>10</v>
      </c>
      <c r="F1" s="59" t="s">
        <v>11</v>
      </c>
      <c r="G1" s="59" t="s">
        <v>16</v>
      </c>
      <c r="H1" s="60" t="s">
        <v>17</v>
      </c>
      <c r="I1" s="61"/>
      <c r="J1" s="62" t="s">
        <v>31</v>
      </c>
      <c r="L1" s="2"/>
    </row>
    <row r="2" spans="1:18" x14ac:dyDescent="0.25">
      <c r="A2" s="5">
        <v>-3.3</v>
      </c>
      <c r="B2" s="5">
        <v>666153.18799999997</v>
      </c>
      <c r="C2" s="17">
        <f>LN(B2)</f>
        <v>13.409274935085831</v>
      </c>
      <c r="D2" s="17">
        <f>A2*A2</f>
        <v>10.889999999999999</v>
      </c>
      <c r="E2" s="17">
        <f>D2*A2</f>
        <v>-35.936999999999998</v>
      </c>
      <c r="F2" s="17">
        <f>D2*D2</f>
        <v>118.59209999999997</v>
      </c>
      <c r="G2" s="17">
        <f>A2*C2</f>
        <v>-44.250607285783239</v>
      </c>
      <c r="H2" s="18">
        <f>C2*D2</f>
        <v>146.02700404308467</v>
      </c>
      <c r="I2" s="3"/>
      <c r="J2" s="56">
        <f>$M$41*EXP(-((A2-$M$43)^2)/(2*$M$42*$M$42))</f>
        <v>681502.28644686437</v>
      </c>
      <c r="K2" s="3"/>
      <c r="L2" s="68" t="s">
        <v>27</v>
      </c>
      <c r="M2" s="69"/>
      <c r="N2" s="69"/>
      <c r="O2" s="21"/>
      <c r="P2" s="21"/>
      <c r="Q2" s="21"/>
      <c r="R2" s="22" t="s">
        <v>8</v>
      </c>
    </row>
    <row r="3" spans="1:18" x14ac:dyDescent="0.25">
      <c r="A3" s="5">
        <v>-1.65</v>
      </c>
      <c r="B3" s="5">
        <v>12879098</v>
      </c>
      <c r="C3" s="17">
        <f t="shared" ref="C3:C6" si="0">LN(B3)</f>
        <v>16.371116245132292</v>
      </c>
      <c r="D3" s="17">
        <f t="shared" ref="D3:D6" si="1">A3*A3</f>
        <v>2.7224999999999997</v>
      </c>
      <c r="E3" s="17">
        <f t="shared" ref="E3:E6" si="2">D3*A3</f>
        <v>-4.4921249999999997</v>
      </c>
      <c r="F3" s="17">
        <f t="shared" ref="F3:F6" si="3">D3*D3</f>
        <v>7.4120062499999984</v>
      </c>
      <c r="G3" s="17">
        <f t="shared" ref="G3:G6" si="4">A3*C3</f>
        <v>-27.012341804468281</v>
      </c>
      <c r="H3" s="18">
        <f t="shared" ref="H3:H6" si="5">C3*D3</f>
        <v>44.570363977372658</v>
      </c>
      <c r="I3" s="3"/>
      <c r="J3" s="56">
        <f>$M$41*EXP(-((A3-$M$43)^2)/(2*$M$42*$M$42))</f>
        <v>13202537.945194084</v>
      </c>
      <c r="K3" s="3"/>
      <c r="L3" s="23"/>
      <c r="M3" s="24" t="s">
        <v>7</v>
      </c>
      <c r="N3" s="24"/>
      <c r="O3" s="24"/>
      <c r="P3" s="24"/>
      <c r="Q3" s="24"/>
      <c r="R3" s="25"/>
    </row>
    <row r="4" spans="1:18" x14ac:dyDescent="0.25">
      <c r="A4" s="5">
        <v>0</v>
      </c>
      <c r="B4" s="66">
        <v>38529680</v>
      </c>
      <c r="C4" s="17">
        <f t="shared" si="0"/>
        <v>17.466939411351138</v>
      </c>
      <c r="D4" s="17">
        <f t="shared" si="1"/>
        <v>0</v>
      </c>
      <c r="E4" s="17">
        <f t="shared" si="2"/>
        <v>0</v>
      </c>
      <c r="F4" s="17">
        <f t="shared" si="3"/>
        <v>0</v>
      </c>
      <c r="G4" s="17">
        <f t="shared" si="4"/>
        <v>0</v>
      </c>
      <c r="H4" s="18">
        <f t="shared" si="5"/>
        <v>0</v>
      </c>
      <c r="I4" s="3"/>
      <c r="J4" s="56">
        <f>$M$41*EXP(-((A4-$M$43)^2)/(2*$M$42*$M$42))</f>
        <v>31197531.576310441</v>
      </c>
      <c r="K4" s="3"/>
      <c r="L4" s="26">
        <f>A39</f>
        <v>5</v>
      </c>
      <c r="M4" s="27">
        <f>A40</f>
        <v>0</v>
      </c>
      <c r="N4" s="27">
        <f>D40</f>
        <v>27.224999999999994</v>
      </c>
      <c r="O4" s="28"/>
      <c r="P4" s="27" t="s">
        <v>6</v>
      </c>
      <c r="Q4" s="24"/>
      <c r="R4" s="29">
        <f>C40</f>
        <v>75.759573384223785</v>
      </c>
    </row>
    <row r="5" spans="1:18" x14ac:dyDescent="0.25">
      <c r="A5" s="5">
        <v>1.65</v>
      </c>
      <c r="B5" s="5">
        <v>6956554</v>
      </c>
      <c r="C5" s="17">
        <f t="shared" si="0"/>
        <v>15.755194794758198</v>
      </c>
      <c r="D5" s="17">
        <f t="shared" si="1"/>
        <v>2.7224999999999997</v>
      </c>
      <c r="E5" s="17">
        <f t="shared" si="2"/>
        <v>4.4921249999999997</v>
      </c>
      <c r="F5" s="17">
        <f t="shared" si="3"/>
        <v>7.4120062499999984</v>
      </c>
      <c r="G5" s="17">
        <f t="shared" si="4"/>
        <v>25.996071411351025</v>
      </c>
      <c r="H5" s="18">
        <f t="shared" si="5"/>
        <v>42.893517828729188</v>
      </c>
      <c r="I5" s="3"/>
      <c r="J5" s="56">
        <f>$M$41*EXP(-((A5-$M$43)^2)/(2*$M$42*$M$42))</f>
        <v>8991988.5044946354</v>
      </c>
      <c r="K5" s="3"/>
      <c r="L5" s="26">
        <f>A40</f>
        <v>0</v>
      </c>
      <c r="M5" s="27">
        <f>D40</f>
        <v>27.224999999999994</v>
      </c>
      <c r="N5" s="27">
        <f>E40</f>
        <v>0</v>
      </c>
      <c r="O5" s="28" t="s">
        <v>1</v>
      </c>
      <c r="P5" s="27" t="s">
        <v>5</v>
      </c>
      <c r="Q5" s="24" t="s">
        <v>18</v>
      </c>
      <c r="R5" s="29">
        <f>G40</f>
        <v>-3.1686192858426594</v>
      </c>
    </row>
    <row r="6" spans="1:18" x14ac:dyDescent="0.25">
      <c r="A6" s="5">
        <v>3.3</v>
      </c>
      <c r="B6" s="5">
        <v>346988.875</v>
      </c>
      <c r="C6" s="17">
        <f t="shared" si="0"/>
        <v>12.757047997896315</v>
      </c>
      <c r="D6" s="17">
        <f t="shared" si="1"/>
        <v>10.889999999999999</v>
      </c>
      <c r="E6" s="17">
        <f t="shared" si="2"/>
        <v>35.936999999999998</v>
      </c>
      <c r="F6" s="17">
        <f t="shared" si="3"/>
        <v>118.59209999999997</v>
      </c>
      <c r="G6" s="17">
        <f t="shared" si="4"/>
        <v>42.09825839305784</v>
      </c>
      <c r="H6" s="18">
        <f t="shared" si="5"/>
        <v>138.92425269709085</v>
      </c>
      <c r="I6" s="3"/>
      <c r="J6" s="56">
        <f>$M$41*EXP(-((A6-$M$43)^2)/(2*$M$42*$M$42))</f>
        <v>316128.72121167619</v>
      </c>
      <c r="K6" s="3"/>
      <c r="L6" s="26">
        <f>D40</f>
        <v>27.224999999999994</v>
      </c>
      <c r="M6" s="27">
        <f>E40</f>
        <v>0</v>
      </c>
      <c r="N6" s="27">
        <f>F40</f>
        <v>252.00821249999996</v>
      </c>
      <c r="O6" s="28"/>
      <c r="P6" s="27" t="s">
        <v>4</v>
      </c>
      <c r="Q6" s="24"/>
      <c r="R6" s="29">
        <f>H40</f>
        <v>372.41513854627738</v>
      </c>
    </row>
    <row r="7" spans="1:18" x14ac:dyDescent="0.25">
      <c r="A7" s="5"/>
      <c r="B7" s="5"/>
      <c r="C7" s="17"/>
      <c r="D7" s="17"/>
      <c r="E7" s="17"/>
      <c r="F7" s="17"/>
      <c r="G7" s="17"/>
      <c r="H7" s="18"/>
      <c r="I7" s="3"/>
      <c r="J7" s="56"/>
      <c r="K7" s="3"/>
      <c r="L7" s="23"/>
      <c r="M7" s="24"/>
      <c r="N7" s="24"/>
      <c r="O7" s="24"/>
      <c r="P7" s="24"/>
      <c r="Q7" s="24"/>
      <c r="R7" s="25"/>
    </row>
    <row r="8" spans="1:18" x14ac:dyDescent="0.25">
      <c r="A8" s="5"/>
      <c r="B8" s="5"/>
      <c r="C8" s="17"/>
      <c r="D8" s="17"/>
      <c r="E8" s="17"/>
      <c r="F8" s="17"/>
      <c r="G8" s="17"/>
      <c r="H8" s="18"/>
      <c r="I8" s="3"/>
      <c r="J8" s="56"/>
      <c r="K8" s="3"/>
      <c r="L8" s="23" t="s">
        <v>19</v>
      </c>
      <c r="M8" s="24">
        <f>L4*(M5*N6-N5*M6)-M4*(L5*N6-N5*L6)+N4*(L5*M6-M5*L6)</f>
        <v>14125.430910937499</v>
      </c>
      <c r="N8" s="30"/>
      <c r="O8" s="30"/>
      <c r="P8" s="30"/>
      <c r="Q8" s="30"/>
      <c r="R8" s="31"/>
    </row>
    <row r="9" spans="1:18" x14ac:dyDescent="0.25">
      <c r="A9" s="8"/>
      <c r="B9" s="8"/>
      <c r="C9" s="17"/>
      <c r="D9" s="17"/>
      <c r="E9" s="17"/>
      <c r="F9" s="17"/>
      <c r="G9" s="17"/>
      <c r="H9" s="18"/>
      <c r="I9" s="3"/>
      <c r="J9" s="56"/>
      <c r="K9" s="3"/>
      <c r="L9" s="23"/>
      <c r="M9" s="30"/>
      <c r="N9" s="30"/>
      <c r="O9" s="30"/>
      <c r="P9" s="30"/>
      <c r="Q9" s="30"/>
      <c r="R9" s="31"/>
    </row>
    <row r="10" spans="1:18" x14ac:dyDescent="0.25">
      <c r="A10" s="8"/>
      <c r="B10" s="8"/>
      <c r="C10" s="17"/>
      <c r="D10" s="17"/>
      <c r="E10" s="17"/>
      <c r="F10" s="17"/>
      <c r="G10" s="17"/>
      <c r="H10" s="18"/>
      <c r="I10" s="3"/>
      <c r="J10" s="56"/>
      <c r="K10" s="3"/>
      <c r="L10" s="23"/>
      <c r="M10" s="30"/>
      <c r="N10" s="30"/>
      <c r="O10" s="30"/>
      <c r="P10" s="30"/>
      <c r="Q10" s="30"/>
      <c r="R10" s="31"/>
    </row>
    <row r="11" spans="1:18" x14ac:dyDescent="0.25">
      <c r="A11" s="8"/>
      <c r="B11" s="8"/>
      <c r="C11" s="17"/>
      <c r="D11" s="17"/>
      <c r="E11" s="17"/>
      <c r="F11" s="17"/>
      <c r="G11" s="17"/>
      <c r="H11" s="18"/>
      <c r="I11" s="3"/>
      <c r="J11" s="56"/>
      <c r="K11" s="3"/>
      <c r="L11" s="23"/>
      <c r="M11" s="24" t="s">
        <v>20</v>
      </c>
      <c r="N11" s="30"/>
      <c r="O11" s="30"/>
      <c r="P11" s="30"/>
      <c r="Q11" s="30"/>
      <c r="R11" s="31"/>
    </row>
    <row r="12" spans="1:18" x14ac:dyDescent="0.25">
      <c r="A12" s="8"/>
      <c r="B12" s="8"/>
      <c r="C12" s="17"/>
      <c r="D12" s="17"/>
      <c r="E12" s="17"/>
      <c r="F12" s="17"/>
      <c r="G12" s="17"/>
      <c r="H12" s="18"/>
      <c r="I12" s="3"/>
      <c r="J12" s="56"/>
      <c r="K12" s="3"/>
      <c r="L12" s="26">
        <f>M5*N6-N5*M6</f>
        <v>6860.9235853124974</v>
      </c>
      <c r="M12" s="27">
        <f>-(L5*N6-N5*L6)</f>
        <v>0</v>
      </c>
      <c r="N12" s="27">
        <f>L5*M6-M5*L6</f>
        <v>-741.20062499999972</v>
      </c>
      <c r="O12" s="30"/>
      <c r="P12" s="30"/>
      <c r="Q12" s="30"/>
      <c r="R12" s="31"/>
    </row>
    <row r="13" spans="1:18" x14ac:dyDescent="0.25">
      <c r="A13" s="8"/>
      <c r="B13" s="8"/>
      <c r="C13" s="17"/>
      <c r="D13" s="17"/>
      <c r="E13" s="17"/>
      <c r="F13" s="17"/>
      <c r="G13" s="17"/>
      <c r="H13" s="18"/>
      <c r="I13" s="3"/>
      <c r="J13" s="56"/>
      <c r="K13" s="3"/>
      <c r="L13" s="26">
        <f>-(M4*N6-N4*M6)</f>
        <v>0</v>
      </c>
      <c r="M13" s="27">
        <f>L4*N6-N4*L6</f>
        <v>518.84043750000001</v>
      </c>
      <c r="N13" s="27">
        <f>-(L4*M6-M4*L6)</f>
        <v>0</v>
      </c>
      <c r="O13" s="30"/>
      <c r="P13" s="30"/>
      <c r="Q13" s="30"/>
      <c r="R13" s="31"/>
    </row>
    <row r="14" spans="1:18" x14ac:dyDescent="0.25">
      <c r="A14" s="8"/>
      <c r="B14" s="8"/>
      <c r="C14" s="17"/>
      <c r="D14" s="17"/>
      <c r="E14" s="17"/>
      <c r="F14" s="17"/>
      <c r="G14" s="17"/>
      <c r="H14" s="18"/>
      <c r="I14" s="3"/>
      <c r="J14" s="56"/>
      <c r="K14" s="3"/>
      <c r="L14" s="26">
        <f>M4*N5-N4*M5</f>
        <v>-741.20062499999972</v>
      </c>
      <c r="M14" s="27">
        <f>-(L4*N5-N4*L5)</f>
        <v>0</v>
      </c>
      <c r="N14" s="27">
        <f>L4*M5-M4*L5</f>
        <v>136.12499999999997</v>
      </c>
      <c r="O14" s="30"/>
      <c r="P14" s="30"/>
      <c r="Q14" s="30"/>
      <c r="R14" s="31"/>
    </row>
    <row r="15" spans="1:18" x14ac:dyDescent="0.25">
      <c r="A15" s="8"/>
      <c r="B15" s="8"/>
      <c r="C15" s="17"/>
      <c r="D15" s="17"/>
      <c r="E15" s="17"/>
      <c r="F15" s="17"/>
      <c r="G15" s="17"/>
      <c r="H15" s="18"/>
      <c r="I15" s="3"/>
      <c r="J15" s="56"/>
      <c r="K15" s="3"/>
      <c r="L15" s="23"/>
      <c r="M15" s="30"/>
      <c r="N15" s="30"/>
      <c r="O15" s="30"/>
      <c r="P15" s="30"/>
      <c r="Q15" s="30"/>
      <c r="R15" s="31"/>
    </row>
    <row r="16" spans="1:18" x14ac:dyDescent="0.25">
      <c r="A16" s="8"/>
      <c r="B16" s="8"/>
      <c r="C16" s="17"/>
      <c r="D16" s="17"/>
      <c r="E16" s="17"/>
      <c r="F16" s="17"/>
      <c r="G16" s="17"/>
      <c r="H16" s="18"/>
      <c r="I16" s="3"/>
      <c r="J16" s="56"/>
      <c r="K16" s="3"/>
      <c r="L16" s="23"/>
      <c r="M16" s="24" t="s">
        <v>21</v>
      </c>
      <c r="N16" s="30"/>
      <c r="O16" s="30"/>
      <c r="P16" s="30"/>
      <c r="Q16" s="30"/>
      <c r="R16" s="31"/>
    </row>
    <row r="17" spans="1:18" x14ac:dyDescent="0.25">
      <c r="A17" s="8"/>
      <c r="B17" s="8"/>
      <c r="C17" s="17"/>
      <c r="D17" s="17"/>
      <c r="E17" s="17"/>
      <c r="F17" s="17"/>
      <c r="G17" s="17"/>
      <c r="H17" s="18"/>
      <c r="I17" s="3"/>
      <c r="J17" s="56"/>
      <c r="K17" s="3"/>
      <c r="L17" s="26">
        <f>L12</f>
        <v>6860.9235853124974</v>
      </c>
      <c r="M17" s="27">
        <f>L13</f>
        <v>0</v>
      </c>
      <c r="N17" s="27">
        <f>L14</f>
        <v>-741.20062499999972</v>
      </c>
      <c r="O17" s="30"/>
      <c r="P17" s="30"/>
      <c r="Q17" s="30"/>
      <c r="R17" s="31"/>
    </row>
    <row r="18" spans="1:18" x14ac:dyDescent="0.25">
      <c r="A18" s="8"/>
      <c r="B18" s="8"/>
      <c r="C18" s="17"/>
      <c r="D18" s="17"/>
      <c r="E18" s="17"/>
      <c r="F18" s="17"/>
      <c r="G18" s="17"/>
      <c r="H18" s="18"/>
      <c r="I18" s="3"/>
      <c r="J18" s="56"/>
      <c r="K18" s="3"/>
      <c r="L18" s="26">
        <f>M12</f>
        <v>0</v>
      </c>
      <c r="M18" s="27">
        <f>M13</f>
        <v>518.84043750000001</v>
      </c>
      <c r="N18" s="27">
        <f>M14</f>
        <v>0</v>
      </c>
      <c r="O18" s="30"/>
      <c r="P18" s="30"/>
      <c r="Q18" s="30"/>
      <c r="R18" s="31"/>
    </row>
    <row r="19" spans="1:18" x14ac:dyDescent="0.25">
      <c r="A19" s="8"/>
      <c r="B19" s="8"/>
      <c r="C19" s="17"/>
      <c r="D19" s="17"/>
      <c r="E19" s="17"/>
      <c r="F19" s="17"/>
      <c r="G19" s="17"/>
      <c r="H19" s="18"/>
      <c r="I19" s="3"/>
      <c r="J19" s="56"/>
      <c r="K19" s="3"/>
      <c r="L19" s="26">
        <f>N12</f>
        <v>-741.20062499999972</v>
      </c>
      <c r="M19" s="27">
        <f>N13</f>
        <v>0</v>
      </c>
      <c r="N19" s="27">
        <f>N14</f>
        <v>136.12499999999997</v>
      </c>
      <c r="O19" s="30"/>
      <c r="P19" s="30"/>
      <c r="Q19" s="30"/>
      <c r="R19" s="31"/>
    </row>
    <row r="20" spans="1:18" x14ac:dyDescent="0.25">
      <c r="A20" s="8"/>
      <c r="B20" s="8"/>
      <c r="C20" s="17"/>
      <c r="D20" s="17"/>
      <c r="E20" s="17"/>
      <c r="F20" s="17"/>
      <c r="G20" s="17"/>
      <c r="H20" s="18"/>
      <c r="I20" s="3"/>
      <c r="J20" s="56"/>
      <c r="K20" s="3"/>
      <c r="L20" s="23"/>
      <c r="M20" s="30"/>
      <c r="N20" s="30"/>
      <c r="O20" s="30"/>
      <c r="P20" s="30"/>
      <c r="Q20" s="30" t="s">
        <v>25</v>
      </c>
      <c r="R20" s="31"/>
    </row>
    <row r="21" spans="1:18" x14ac:dyDescent="0.25">
      <c r="A21" s="8"/>
      <c r="B21" s="8"/>
      <c r="C21" s="17"/>
      <c r="D21" s="17"/>
      <c r="E21" s="17"/>
      <c r="F21" s="17"/>
      <c r="G21" s="17"/>
      <c r="H21" s="18"/>
      <c r="I21" s="3"/>
      <c r="J21" s="56"/>
      <c r="K21" s="3"/>
      <c r="L21" s="23"/>
      <c r="M21" s="24" t="s">
        <v>22</v>
      </c>
      <c r="N21" s="30"/>
      <c r="O21" s="30"/>
      <c r="P21" s="28"/>
      <c r="Q21" s="30" t="s">
        <v>23</v>
      </c>
      <c r="R21" s="31"/>
    </row>
    <row r="22" spans="1:18" x14ac:dyDescent="0.25">
      <c r="A22" s="8"/>
      <c r="B22" s="8"/>
      <c r="C22" s="17"/>
      <c r="D22" s="17"/>
      <c r="E22" s="17"/>
      <c r="F22" s="17"/>
      <c r="G22" s="17"/>
      <c r="H22" s="18"/>
      <c r="I22" s="3"/>
      <c r="J22" s="56"/>
      <c r="K22" s="3"/>
      <c r="L22" s="26">
        <f>L17/M8</f>
        <v>0.48571428571428554</v>
      </c>
      <c r="M22" s="27">
        <f>M17/M8</f>
        <v>0</v>
      </c>
      <c r="N22" s="27">
        <f>N17/M8</f>
        <v>-5.2472779745507001E-2</v>
      </c>
      <c r="O22" s="30"/>
      <c r="P22" s="27">
        <f>L22*L4+M22*L5+N22*L6</f>
        <v>1.0000000000000002</v>
      </c>
      <c r="Q22" s="27">
        <f>L22*M4+M22*M5+N22*M6</f>
        <v>0</v>
      </c>
      <c r="R22" s="29">
        <f>L22*N4+M22*N5+N22*N6</f>
        <v>0</v>
      </c>
    </row>
    <row r="23" spans="1:18" x14ac:dyDescent="0.25">
      <c r="A23" s="8"/>
      <c r="B23" s="8"/>
      <c r="C23" s="17"/>
      <c r="D23" s="17"/>
      <c r="E23" s="17"/>
      <c r="F23" s="17"/>
      <c r="G23" s="17"/>
      <c r="H23" s="18"/>
      <c r="I23" s="3"/>
      <c r="J23" s="56"/>
      <c r="K23" s="3"/>
      <c r="L23" s="26">
        <f>L18/M8</f>
        <v>0</v>
      </c>
      <c r="M23" s="27">
        <f>M18/M8</f>
        <v>3.6730945821854918E-2</v>
      </c>
      <c r="N23" s="27">
        <f>N18/M8</f>
        <v>0</v>
      </c>
      <c r="O23" s="30"/>
      <c r="P23" s="27">
        <f>L23*L4+M23*L5+N23*L6</f>
        <v>0</v>
      </c>
      <c r="Q23" s="27">
        <f>M22*L5+M23*M5+N23*N5</f>
        <v>1</v>
      </c>
      <c r="R23" s="29">
        <f>L23*N4+M23*N5+N23*N6</f>
        <v>0</v>
      </c>
    </row>
    <row r="24" spans="1:18" x14ac:dyDescent="0.25">
      <c r="A24" s="8"/>
      <c r="B24" s="8"/>
      <c r="C24" s="17"/>
      <c r="D24" s="17"/>
      <c r="E24" s="17"/>
      <c r="F24" s="17"/>
      <c r="G24" s="17"/>
      <c r="H24" s="18"/>
      <c r="I24" s="3"/>
      <c r="J24" s="56"/>
      <c r="K24" s="3"/>
      <c r="L24" s="26">
        <f>L19/M8</f>
        <v>-5.2472779745507001E-2</v>
      </c>
      <c r="M24" s="27">
        <f>M19/M8</f>
        <v>0</v>
      </c>
      <c r="N24" s="27">
        <f>N19/M8</f>
        <v>9.6368741497717195E-3</v>
      </c>
      <c r="O24" s="30"/>
      <c r="P24" s="27">
        <f>L24*L4+M24*L5+N24*L6</f>
        <v>0</v>
      </c>
      <c r="Q24" s="27">
        <f>L24*M4+M24*M5+N24*M6</f>
        <v>0</v>
      </c>
      <c r="R24" s="29">
        <f>L24*N4+M24*N5+N24*N6</f>
        <v>1.0000000000000002</v>
      </c>
    </row>
    <row r="25" spans="1:18" x14ac:dyDescent="0.25">
      <c r="A25" s="8"/>
      <c r="B25" s="8"/>
      <c r="C25" s="17"/>
      <c r="D25" s="17"/>
      <c r="E25" s="17"/>
      <c r="F25" s="17"/>
      <c r="G25" s="17"/>
      <c r="H25" s="18"/>
      <c r="I25" s="3"/>
      <c r="J25" s="56"/>
      <c r="K25" s="3"/>
      <c r="L25" s="23"/>
      <c r="M25" s="24"/>
      <c r="N25" s="30"/>
      <c r="O25" s="30"/>
      <c r="P25" s="30"/>
      <c r="Q25" s="30"/>
      <c r="R25" s="31"/>
    </row>
    <row r="26" spans="1:18" x14ac:dyDescent="0.25">
      <c r="A26" s="8"/>
      <c r="B26" s="8"/>
      <c r="C26" s="17"/>
      <c r="D26" s="17"/>
      <c r="E26" s="17"/>
      <c r="F26" s="17"/>
      <c r="G26" s="17"/>
      <c r="H26" s="18"/>
      <c r="I26" s="3"/>
      <c r="J26" s="56"/>
      <c r="K26" s="3"/>
      <c r="L26" s="23"/>
      <c r="M26" s="24" t="s">
        <v>22</v>
      </c>
      <c r="N26" s="30"/>
      <c r="O26" s="30"/>
      <c r="P26" s="30"/>
      <c r="Q26" s="30"/>
      <c r="R26" s="31"/>
    </row>
    <row r="27" spans="1:18" x14ac:dyDescent="0.25">
      <c r="A27" s="8"/>
      <c r="B27" s="8"/>
      <c r="C27" s="17"/>
      <c r="D27" s="17"/>
      <c r="E27" s="17"/>
      <c r="F27" s="17"/>
      <c r="G27" s="17"/>
      <c r="H27" s="18"/>
      <c r="I27" s="3"/>
      <c r="J27" s="56"/>
      <c r="K27" s="3"/>
      <c r="L27" s="26">
        <f>L22</f>
        <v>0.48571428571428554</v>
      </c>
      <c r="M27" s="27">
        <f t="shared" ref="M27:N27" si="6">M22</f>
        <v>0</v>
      </c>
      <c r="N27" s="27">
        <f t="shared" si="6"/>
        <v>-5.2472779745507001E-2</v>
      </c>
      <c r="O27" s="30"/>
      <c r="P27" s="27">
        <f>R4</f>
        <v>75.759573384223785</v>
      </c>
      <c r="Q27" s="24"/>
      <c r="R27" s="32">
        <f>L27*P27+M27*P28+N27*P29</f>
        <v>17.255849533505966</v>
      </c>
    </row>
    <row r="28" spans="1:18" x14ac:dyDescent="0.25">
      <c r="A28" s="5"/>
      <c r="B28" s="5"/>
      <c r="C28" s="17"/>
      <c r="D28" s="17"/>
      <c r="E28" s="17"/>
      <c r="F28" s="17"/>
      <c r="G28" s="17"/>
      <c r="H28" s="18"/>
      <c r="I28" s="3"/>
      <c r="J28" s="56"/>
      <c r="K28" s="3"/>
      <c r="L28" s="26">
        <f t="shared" ref="L28:N29" si="7">L23</f>
        <v>0</v>
      </c>
      <c r="M28" s="27">
        <f t="shared" si="7"/>
        <v>3.6730945821854918E-2</v>
      </c>
      <c r="N28" s="27">
        <f t="shared" si="7"/>
        <v>0</v>
      </c>
      <c r="O28" s="24" t="s">
        <v>1</v>
      </c>
      <c r="P28" s="27">
        <f>R5</f>
        <v>-3.1686192858426594</v>
      </c>
      <c r="Q28" s="24" t="s">
        <v>18</v>
      </c>
      <c r="R28" s="32">
        <f>L28*P27+M28*P28+N28*P29</f>
        <v>-0.11638638331837134</v>
      </c>
    </row>
    <row r="29" spans="1:18" x14ac:dyDescent="0.25">
      <c r="A29" s="5"/>
      <c r="B29" s="5"/>
      <c r="C29" s="17"/>
      <c r="D29" s="17"/>
      <c r="E29" s="17"/>
      <c r="F29" s="17"/>
      <c r="G29" s="17"/>
      <c r="H29" s="18"/>
      <c r="I29" s="3"/>
      <c r="J29" s="56"/>
      <c r="K29" s="3"/>
      <c r="L29" s="26">
        <f t="shared" si="7"/>
        <v>-5.2472779745507001E-2</v>
      </c>
      <c r="M29" s="27">
        <f t="shared" si="7"/>
        <v>0</v>
      </c>
      <c r="N29" s="27">
        <f t="shared" si="7"/>
        <v>9.6368741497717195E-3</v>
      </c>
      <c r="O29" s="30"/>
      <c r="P29" s="27">
        <f>R6</f>
        <v>372.41513854627738</v>
      </c>
      <c r="Q29" s="24"/>
      <c r="R29" s="32">
        <f>L29*P27+M29*P28+N29*P29</f>
        <v>-0.38639758616367503</v>
      </c>
    </row>
    <row r="30" spans="1:18" x14ac:dyDescent="0.25">
      <c r="A30" s="5"/>
      <c r="B30" s="5"/>
      <c r="C30" s="17"/>
      <c r="D30" s="17"/>
      <c r="E30" s="17"/>
      <c r="F30" s="17"/>
      <c r="G30" s="17"/>
      <c r="H30" s="18"/>
      <c r="I30" s="3"/>
      <c r="J30" s="56"/>
      <c r="K30" s="3"/>
      <c r="L30" s="23"/>
      <c r="M30" s="30"/>
      <c r="N30" s="30"/>
      <c r="O30" s="30"/>
      <c r="P30" s="30"/>
      <c r="Q30" s="30"/>
      <c r="R30" s="31"/>
    </row>
    <row r="31" spans="1:18" x14ac:dyDescent="0.25">
      <c r="A31" s="5"/>
      <c r="B31" s="5"/>
      <c r="C31" s="17"/>
      <c r="D31" s="17"/>
      <c r="E31" s="17"/>
      <c r="F31" s="17"/>
      <c r="G31" s="17"/>
      <c r="H31" s="18"/>
      <c r="I31" s="3"/>
      <c r="J31" s="56"/>
      <c r="K31" s="3"/>
      <c r="L31" s="26" t="s">
        <v>6</v>
      </c>
      <c r="M31" s="24"/>
      <c r="N31" s="27">
        <f>R27</f>
        <v>17.255849533505966</v>
      </c>
      <c r="O31" s="30"/>
      <c r="P31" s="30"/>
      <c r="Q31" s="30"/>
      <c r="R31" s="31"/>
    </row>
    <row r="32" spans="1:18" x14ac:dyDescent="0.25">
      <c r="A32" s="5"/>
      <c r="B32" s="5"/>
      <c r="C32" s="17"/>
      <c r="D32" s="17"/>
      <c r="E32" s="17"/>
      <c r="F32" s="17"/>
      <c r="G32" s="17"/>
      <c r="H32" s="18"/>
      <c r="I32" s="3"/>
      <c r="J32" s="56"/>
      <c r="K32" s="3"/>
      <c r="L32" s="26" t="s">
        <v>5</v>
      </c>
      <c r="M32" s="24" t="s">
        <v>18</v>
      </c>
      <c r="N32" s="27">
        <f t="shared" ref="N32:N33" si="8">R28</f>
        <v>-0.11638638331837134</v>
      </c>
      <c r="O32" s="30"/>
      <c r="P32" s="30"/>
      <c r="Q32" s="30"/>
      <c r="R32" s="31"/>
    </row>
    <row r="33" spans="1:25" ht="15.75" thickBot="1" x14ac:dyDescent="0.3">
      <c r="A33" s="5"/>
      <c r="B33" s="5"/>
      <c r="C33" s="17"/>
      <c r="D33" s="17"/>
      <c r="E33" s="17"/>
      <c r="F33" s="17"/>
      <c r="G33" s="17"/>
      <c r="H33" s="18"/>
      <c r="I33" s="3"/>
      <c r="J33" s="56"/>
      <c r="K33" s="3"/>
      <c r="L33" s="33" t="s">
        <v>4</v>
      </c>
      <c r="M33" s="34"/>
      <c r="N33" s="35">
        <f t="shared" si="8"/>
        <v>-0.38639758616367503</v>
      </c>
      <c r="O33" s="36"/>
      <c r="P33" s="36"/>
      <c r="Q33" s="36"/>
      <c r="R33" s="37"/>
    </row>
    <row r="34" spans="1:25" x14ac:dyDescent="0.25">
      <c r="A34" s="5"/>
      <c r="B34" s="5"/>
      <c r="C34" s="17"/>
      <c r="D34" s="17"/>
      <c r="E34" s="17"/>
      <c r="F34" s="17"/>
      <c r="G34" s="17"/>
      <c r="H34" s="18"/>
      <c r="I34" s="3"/>
      <c r="J34" s="56"/>
      <c r="K34" s="3"/>
      <c r="L34" s="3"/>
    </row>
    <row r="35" spans="1:25" x14ac:dyDescent="0.25">
      <c r="A35" s="7"/>
      <c r="B35" s="13"/>
      <c r="C35" s="17"/>
      <c r="D35" s="17"/>
      <c r="E35" s="17"/>
      <c r="F35" s="17"/>
      <c r="G35" s="17"/>
      <c r="H35" s="18"/>
      <c r="I35" s="3"/>
      <c r="J35" s="56"/>
      <c r="K35" s="3"/>
      <c r="L35" s="70" t="s">
        <v>33</v>
      </c>
      <c r="M35" s="70"/>
      <c r="N35" s="70"/>
      <c r="O35" s="70"/>
      <c r="P35" s="70"/>
      <c r="Q35" s="70"/>
      <c r="R35" s="70"/>
      <c r="S35" s="70"/>
      <c r="T35" s="70"/>
      <c r="U35" s="70"/>
      <c r="V35" s="70"/>
      <c r="W35" s="70"/>
      <c r="X35" s="70"/>
      <c r="Y35" s="70"/>
    </row>
    <row r="36" spans="1:25" x14ac:dyDescent="0.25">
      <c r="A36" s="7"/>
      <c r="B36" s="13"/>
      <c r="C36" s="17"/>
      <c r="D36" s="17"/>
      <c r="E36" s="17"/>
      <c r="F36" s="17"/>
      <c r="G36" s="17"/>
      <c r="H36" s="18"/>
      <c r="I36" s="3"/>
      <c r="J36" s="56"/>
      <c r="K36" s="3"/>
      <c r="L36" s="70" t="s">
        <v>32</v>
      </c>
      <c r="M36" s="70"/>
      <c r="N36" s="70"/>
      <c r="O36" s="70"/>
      <c r="P36" s="70"/>
      <c r="Q36" s="70"/>
      <c r="R36" s="70"/>
      <c r="S36" s="70"/>
      <c r="T36" s="70"/>
      <c r="U36" s="70"/>
      <c r="V36" s="70"/>
      <c r="W36" s="70"/>
      <c r="X36" s="70"/>
      <c r="Y36" s="70"/>
    </row>
    <row r="37" spans="1:25" ht="15.75" thickBot="1" x14ac:dyDescent="0.3">
      <c r="A37" s="55"/>
      <c r="B37" s="14"/>
      <c r="C37" s="19"/>
      <c r="D37" s="19"/>
      <c r="E37" s="19"/>
      <c r="F37" s="19"/>
      <c r="G37" s="19"/>
      <c r="H37" s="20"/>
      <c r="I37" s="3"/>
      <c r="J37" s="57"/>
      <c r="K37" s="3"/>
      <c r="L37" s="3"/>
    </row>
    <row r="38" spans="1:25" x14ac:dyDescent="0.25">
      <c r="A38" s="6"/>
      <c r="B38" s="12"/>
      <c r="C38" s="3"/>
      <c r="D38" s="3"/>
      <c r="E38" s="3"/>
      <c r="F38" s="3"/>
      <c r="G38" s="3"/>
      <c r="H38" s="3"/>
      <c r="I38" s="3"/>
      <c r="J38" s="3"/>
      <c r="K38" s="3"/>
      <c r="L38" s="3"/>
    </row>
    <row r="39" spans="1:25" x14ac:dyDescent="0.25">
      <c r="A39" s="6">
        <f>COUNTIF(A1:A34,"&lt;100000000000000")</f>
        <v>5</v>
      </c>
      <c r="B39" s="6" t="s">
        <v>12</v>
      </c>
      <c r="C39" s="3"/>
      <c r="D39" s="3"/>
      <c r="E39" s="3"/>
      <c r="F39" s="3"/>
      <c r="G39" s="3"/>
      <c r="H39" s="3"/>
      <c r="I39" s="3"/>
      <c r="J39" s="3"/>
      <c r="K39" s="3"/>
      <c r="L39" s="3"/>
    </row>
    <row r="40" spans="1:25" x14ac:dyDescent="0.25">
      <c r="A40" s="6">
        <f>SUM(A2:A34)</f>
        <v>0</v>
      </c>
      <c r="B40" s="6" t="s">
        <v>15</v>
      </c>
      <c r="C40" s="3">
        <f t="shared" ref="C40" si="9">SUM(C2:C34)</f>
        <v>75.759573384223785</v>
      </c>
      <c r="D40" s="3">
        <f>SUM(D2:D34)</f>
        <v>27.224999999999994</v>
      </c>
      <c r="E40" s="3">
        <f>SUM(E2:E34)</f>
        <v>0</v>
      </c>
      <c r="F40" s="3">
        <f>SUM(F2:F34)</f>
        <v>252.00821249999996</v>
      </c>
      <c r="G40" s="3">
        <f>SUM(G2:G34)</f>
        <v>-3.1686192858426594</v>
      </c>
      <c r="H40" s="3">
        <f>SUM(H2:H34)</f>
        <v>372.41513854627738</v>
      </c>
      <c r="I40" s="3"/>
      <c r="J40" s="3"/>
      <c r="K40" s="3"/>
      <c r="L40" s="3" t="s">
        <v>24</v>
      </c>
    </row>
    <row r="41" spans="1:25" x14ac:dyDescent="0.25">
      <c r="L41" s="9" t="s">
        <v>0</v>
      </c>
      <c r="M41" s="9">
        <f>EXP(N31-N32*N32/(4*N33))</f>
        <v>31472153.170600642</v>
      </c>
    </row>
    <row r="42" spans="1:25" x14ac:dyDescent="0.25">
      <c r="L42" s="10" t="s">
        <v>13</v>
      </c>
      <c r="M42" s="9">
        <f>SQRT((-1/(2*N33)))</f>
        <v>1.1375429410975637</v>
      </c>
    </row>
    <row r="43" spans="1:25" x14ac:dyDescent="0.25">
      <c r="L43" s="10" t="s">
        <v>14</v>
      </c>
      <c r="M43" s="9">
        <f>-N32/(2*N33)</f>
        <v>-0.15060443890696429</v>
      </c>
    </row>
    <row r="44" spans="1:25" ht="15.75" thickBot="1" x14ac:dyDescent="0.3">
      <c r="L44" s="2"/>
      <c r="M44" s="2"/>
    </row>
    <row r="45" spans="1:25" ht="15.75" thickBot="1" x14ac:dyDescent="0.3">
      <c r="L45" s="63" t="s">
        <v>26</v>
      </c>
      <c r="M45" s="64">
        <f>2*SQRT(2*LN(2))*M42</f>
        <v>2.6787089197800036</v>
      </c>
    </row>
  </sheetData>
  <mergeCells count="3">
    <mergeCell ref="L2:N2"/>
    <mergeCell ref="L35:Y35"/>
    <mergeCell ref="L36:Y36"/>
  </mergeCell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B0B53-9D5E-42F6-95CE-725AFC6CAD31}">
  <dimension ref="A1:Y46"/>
  <sheetViews>
    <sheetView zoomScale="85" zoomScaleNormal="85" workbookViewId="0">
      <selection activeCell="F16" sqref="F16"/>
    </sheetView>
  </sheetViews>
  <sheetFormatPr baseColWidth="10" defaultRowHeight="15" x14ac:dyDescent="0.25"/>
  <cols>
    <col min="1" max="1" width="7.5703125" style="11" customWidth="1"/>
    <col min="2" max="2" width="13.5703125" style="11" customWidth="1"/>
    <col min="3" max="3" width="7.85546875" style="2" customWidth="1"/>
    <col min="4" max="4" width="9.5703125" style="2" customWidth="1"/>
    <col min="5" max="5" width="12" style="2" customWidth="1"/>
    <col min="6" max="6" width="12.28515625" style="2" customWidth="1"/>
    <col min="7" max="7" width="8.28515625" style="2" customWidth="1"/>
    <col min="8" max="8" width="11.140625" style="2" customWidth="1"/>
    <col min="9" max="9" width="2" style="2" customWidth="1"/>
    <col min="10" max="10" width="15.140625" style="2" customWidth="1"/>
    <col min="11" max="11" width="1.28515625" style="2" customWidth="1"/>
    <col min="12" max="12" width="12.42578125" customWidth="1"/>
    <col min="13" max="13" width="13" customWidth="1"/>
    <col min="14" max="14" width="14.42578125" customWidth="1"/>
    <col min="15" max="15" width="2.85546875" customWidth="1"/>
    <col min="16" max="16" width="13.42578125" customWidth="1"/>
    <col min="17" max="17" width="7.5703125" customWidth="1"/>
    <col min="18" max="18" width="12.5703125" customWidth="1"/>
    <col min="19" max="19" width="1.28515625" customWidth="1"/>
  </cols>
  <sheetData>
    <row r="1" spans="1:18" ht="15.75" thickBot="1" x14ac:dyDescent="0.3">
      <c r="A1" s="58" t="s">
        <v>1</v>
      </c>
      <c r="B1" s="58" t="s">
        <v>2</v>
      </c>
      <c r="C1" s="59" t="s">
        <v>3</v>
      </c>
      <c r="D1" s="59" t="s">
        <v>9</v>
      </c>
      <c r="E1" s="59" t="s">
        <v>10</v>
      </c>
      <c r="F1" s="59" t="s">
        <v>11</v>
      </c>
      <c r="G1" s="59" t="s">
        <v>16</v>
      </c>
      <c r="H1" s="60" t="s">
        <v>17</v>
      </c>
      <c r="I1" s="61"/>
      <c r="J1" s="62" t="s">
        <v>31</v>
      </c>
      <c r="L1" s="2"/>
    </row>
    <row r="2" spans="1:18" x14ac:dyDescent="0.25">
      <c r="A2" s="5">
        <v>-3.3</v>
      </c>
      <c r="B2" s="65">
        <v>296714.21899999998</v>
      </c>
      <c r="C2" s="17">
        <f>LN(B2)</f>
        <v>12.600524728959387</v>
      </c>
      <c r="D2" s="17">
        <f>A2*A2</f>
        <v>10.889999999999999</v>
      </c>
      <c r="E2" s="17">
        <f>D2*A2</f>
        <v>-35.936999999999998</v>
      </c>
      <c r="F2" s="17">
        <f>D2*D2</f>
        <v>118.59209999999997</v>
      </c>
      <c r="G2" s="17">
        <f>A2*C2</f>
        <v>-41.581731605565977</v>
      </c>
      <c r="H2" s="18">
        <f>C2*D2</f>
        <v>137.21971429836771</v>
      </c>
      <c r="I2" s="3"/>
      <c r="J2" s="56">
        <f>$M$41*EXP(-((A2-$M$43)^2)/(2*$M$42*$M$42))</f>
        <v>269437.20566227339</v>
      </c>
      <c r="K2" s="3"/>
      <c r="L2" s="68" t="s">
        <v>27</v>
      </c>
      <c r="M2" s="69"/>
      <c r="N2" s="69"/>
      <c r="O2" s="21"/>
      <c r="P2" s="21"/>
      <c r="Q2" s="21"/>
      <c r="R2" s="22" t="s">
        <v>8</v>
      </c>
    </row>
    <row r="3" spans="1:18" x14ac:dyDescent="0.25">
      <c r="A3" s="5">
        <v>-1.65</v>
      </c>
      <c r="B3" s="65">
        <v>5506899.5</v>
      </c>
      <c r="C3" s="17">
        <f t="shared" ref="C3:C6" si="0">LN(B3)</f>
        <v>15.521512318577459</v>
      </c>
      <c r="D3" s="17">
        <f t="shared" ref="D3:D6" si="1">A3*A3</f>
        <v>2.7224999999999997</v>
      </c>
      <c r="E3" s="17">
        <f t="shared" ref="E3:E6" si="2">D3*A3</f>
        <v>-4.4921249999999997</v>
      </c>
      <c r="F3" s="17">
        <f t="shared" ref="F3:F6" si="3">D3*D3</f>
        <v>7.4120062499999984</v>
      </c>
      <c r="G3" s="17">
        <f t="shared" ref="G3:G6" si="4">A3*C3</f>
        <v>-25.610495325652806</v>
      </c>
      <c r="H3" s="18">
        <f t="shared" ref="H3:H6" si="5">C3*D3</f>
        <v>42.257317287327126</v>
      </c>
      <c r="I3" s="3"/>
      <c r="J3" s="56">
        <f>$M$41*EXP(-((A3-$M$43)^2)/(2*$M$42*$M$42))</f>
        <v>6948314.8835801901</v>
      </c>
      <c r="K3" s="3"/>
      <c r="L3" s="23"/>
      <c r="M3" s="24" t="s">
        <v>7</v>
      </c>
      <c r="N3" s="24"/>
      <c r="O3" s="24"/>
      <c r="P3" s="24"/>
      <c r="Q3" s="24"/>
      <c r="R3" s="25"/>
    </row>
    <row r="4" spans="1:18" x14ac:dyDescent="0.25">
      <c r="A4" s="5">
        <v>0</v>
      </c>
      <c r="B4" s="65">
        <v>27272324</v>
      </c>
      <c r="C4" s="17">
        <f t="shared" si="0"/>
        <v>17.121382973046114</v>
      </c>
      <c r="D4" s="17">
        <f t="shared" si="1"/>
        <v>0</v>
      </c>
      <c r="E4" s="17">
        <f t="shared" si="2"/>
        <v>0</v>
      </c>
      <c r="F4" s="17">
        <f t="shared" si="3"/>
        <v>0</v>
      </c>
      <c r="G4" s="17">
        <f t="shared" si="4"/>
        <v>0</v>
      </c>
      <c r="H4" s="18">
        <f t="shared" si="5"/>
        <v>0</v>
      </c>
      <c r="I4" s="3"/>
      <c r="J4" s="56">
        <f>$M$41*EXP(-((A4-$M$43)^2)/(2*$M$42*$M$42))</f>
        <v>24215301.677962661</v>
      </c>
      <c r="K4" s="3"/>
      <c r="L4" s="26">
        <f>A39</f>
        <v>5</v>
      </c>
      <c r="M4" s="27">
        <f>A40</f>
        <v>0</v>
      </c>
      <c r="N4" s="27">
        <f>D40</f>
        <v>27.224999999999994</v>
      </c>
      <c r="O4" s="28"/>
      <c r="P4" s="27" t="s">
        <v>6</v>
      </c>
      <c r="Q4" s="24"/>
      <c r="R4" s="29">
        <f>C40</f>
        <v>75.005308862400341</v>
      </c>
    </row>
    <row r="5" spans="1:18" x14ac:dyDescent="0.25">
      <c r="A5" s="5">
        <v>1.65</v>
      </c>
      <c r="B5" s="65">
        <v>12280557</v>
      </c>
      <c r="C5" s="17">
        <f t="shared" si="0"/>
        <v>16.323527837960803</v>
      </c>
      <c r="D5" s="17">
        <f t="shared" si="1"/>
        <v>2.7224999999999997</v>
      </c>
      <c r="E5" s="17">
        <f t="shared" si="2"/>
        <v>4.4921249999999997</v>
      </c>
      <c r="F5" s="17">
        <f t="shared" si="3"/>
        <v>7.4120062499999984</v>
      </c>
      <c r="G5" s="17">
        <f t="shared" si="4"/>
        <v>26.933820932635324</v>
      </c>
      <c r="H5" s="18">
        <f t="shared" si="5"/>
        <v>44.440804538848283</v>
      </c>
      <c r="I5" s="3"/>
      <c r="J5" s="56">
        <f>$M$41*EXP(-((A5-$M$43)^2)/(2*$M$42*$M$42))</f>
        <v>11404828.076427424</v>
      </c>
      <c r="K5" s="3"/>
      <c r="L5" s="26">
        <f>A40</f>
        <v>0</v>
      </c>
      <c r="M5" s="27">
        <f>D40</f>
        <v>27.224999999999994</v>
      </c>
      <c r="N5" s="27">
        <f>E40</f>
        <v>0</v>
      </c>
      <c r="O5" s="28" t="s">
        <v>1</v>
      </c>
      <c r="P5" s="27" t="s">
        <v>5</v>
      </c>
      <c r="Q5" s="24" t="s">
        <v>18</v>
      </c>
      <c r="R5" s="29">
        <f>G40</f>
        <v>4.0881853141432529</v>
      </c>
    </row>
    <row r="6" spans="1:18" x14ac:dyDescent="0.25">
      <c r="A6" s="5">
        <v>3.3</v>
      </c>
      <c r="B6" s="65">
        <v>685813.5</v>
      </c>
      <c r="C6" s="17">
        <f t="shared" si="0"/>
        <v>13.43836100385658</v>
      </c>
      <c r="D6" s="17">
        <f t="shared" si="1"/>
        <v>10.889999999999999</v>
      </c>
      <c r="E6" s="17">
        <f t="shared" si="2"/>
        <v>35.936999999999998</v>
      </c>
      <c r="F6" s="17">
        <f t="shared" si="3"/>
        <v>118.59209999999997</v>
      </c>
      <c r="G6" s="17">
        <f t="shared" si="4"/>
        <v>44.346591312726709</v>
      </c>
      <c r="H6" s="18">
        <f t="shared" si="5"/>
        <v>146.34375133199813</v>
      </c>
      <c r="I6" s="3"/>
      <c r="J6" s="56">
        <f>$M$41*EXP(-((A6-$M$43)^2)/(2*$M$42*$M$42))</f>
        <v>725898.78300895251</v>
      </c>
      <c r="K6" s="3"/>
      <c r="L6" s="26">
        <f>D40</f>
        <v>27.224999999999994</v>
      </c>
      <c r="M6" s="27">
        <f>E40</f>
        <v>0</v>
      </c>
      <c r="N6" s="27">
        <f>F40</f>
        <v>252.00821249999996</v>
      </c>
      <c r="O6" s="28"/>
      <c r="P6" s="27" t="s">
        <v>4</v>
      </c>
      <c r="Q6" s="24"/>
      <c r="R6" s="29">
        <f>H40</f>
        <v>370.26158745654124</v>
      </c>
    </row>
    <row r="7" spans="1:18" x14ac:dyDescent="0.25">
      <c r="A7" s="5"/>
      <c r="B7" s="5"/>
      <c r="C7" s="17"/>
      <c r="D7" s="17"/>
      <c r="E7" s="17"/>
      <c r="F7" s="17"/>
      <c r="G7" s="17"/>
      <c r="H7" s="18"/>
      <c r="I7" s="3"/>
      <c r="J7" s="56"/>
      <c r="K7" s="3"/>
      <c r="L7" s="23"/>
      <c r="M7" s="24"/>
      <c r="N7" s="24"/>
      <c r="O7" s="24"/>
      <c r="P7" s="24"/>
      <c r="Q7" s="24"/>
      <c r="R7" s="25"/>
    </row>
    <row r="8" spans="1:18" x14ac:dyDescent="0.25">
      <c r="A8" s="5"/>
      <c r="B8" s="5"/>
      <c r="C8" s="17"/>
      <c r="D8" s="17"/>
      <c r="E8" s="17"/>
      <c r="F8" s="17"/>
      <c r="G8" s="17"/>
      <c r="H8" s="18"/>
      <c r="I8" s="3"/>
      <c r="J8" s="56"/>
      <c r="K8" s="3"/>
      <c r="L8" s="23" t="s">
        <v>19</v>
      </c>
      <c r="M8" s="24">
        <f>L4*(M5*N6-N5*M6)-M4*(L5*N6-N5*L6)+N4*(L5*M6-M5*L6)</f>
        <v>14125.430910937499</v>
      </c>
      <c r="N8" s="30"/>
      <c r="O8" s="30"/>
      <c r="P8" s="30"/>
      <c r="Q8" s="30"/>
      <c r="R8" s="31"/>
    </row>
    <row r="9" spans="1:18" x14ac:dyDescent="0.25">
      <c r="A9" s="8"/>
      <c r="B9" s="8"/>
      <c r="C9" s="17"/>
      <c r="D9" s="17"/>
      <c r="E9" s="17"/>
      <c r="F9" s="17"/>
      <c r="G9" s="17"/>
      <c r="H9" s="18"/>
      <c r="I9" s="3"/>
      <c r="J9" s="56"/>
      <c r="K9" s="3"/>
      <c r="L9" s="23"/>
      <c r="M9" s="30"/>
      <c r="N9" s="30"/>
      <c r="O9" s="30"/>
      <c r="P9" s="30"/>
      <c r="Q9" s="30"/>
      <c r="R9" s="31"/>
    </row>
    <row r="10" spans="1:18" x14ac:dyDescent="0.25">
      <c r="A10" s="8"/>
      <c r="B10" s="8"/>
      <c r="C10" s="17"/>
      <c r="D10" s="17"/>
      <c r="E10" s="17"/>
      <c r="F10" s="17"/>
      <c r="G10" s="17"/>
      <c r="H10" s="18"/>
      <c r="I10" s="3"/>
      <c r="J10" s="56"/>
      <c r="K10" s="3"/>
      <c r="L10" s="23"/>
      <c r="M10" s="30"/>
      <c r="N10" s="30"/>
      <c r="O10" s="30"/>
      <c r="P10" s="30"/>
      <c r="Q10" s="30"/>
      <c r="R10" s="31"/>
    </row>
    <row r="11" spans="1:18" x14ac:dyDescent="0.25">
      <c r="A11" s="8"/>
      <c r="B11" s="8"/>
      <c r="C11" s="17"/>
      <c r="D11" s="17"/>
      <c r="E11" s="17"/>
      <c r="F11" s="17"/>
      <c r="G11" s="17"/>
      <c r="H11" s="18"/>
      <c r="I11" s="3"/>
      <c r="J11" s="56"/>
      <c r="K11" s="3"/>
      <c r="L11" s="23"/>
      <c r="M11" s="24" t="s">
        <v>20</v>
      </c>
      <c r="N11" s="30"/>
      <c r="O11" s="30"/>
      <c r="P11" s="30"/>
      <c r="Q11" s="30"/>
      <c r="R11" s="31"/>
    </row>
    <row r="12" spans="1:18" x14ac:dyDescent="0.25">
      <c r="A12" s="8"/>
      <c r="B12" s="8"/>
      <c r="C12" s="17"/>
      <c r="D12" s="17"/>
      <c r="E12" s="17"/>
      <c r="F12" s="17"/>
      <c r="G12" s="17"/>
      <c r="H12" s="18"/>
      <c r="I12" s="3"/>
      <c r="J12" s="56"/>
      <c r="K12" s="3"/>
      <c r="L12" s="26">
        <f>M5*N6-N5*M6</f>
        <v>6860.9235853124974</v>
      </c>
      <c r="M12" s="27">
        <f>-(L5*N6-N5*L6)</f>
        <v>0</v>
      </c>
      <c r="N12" s="27">
        <f>L5*M6-M5*L6</f>
        <v>-741.20062499999972</v>
      </c>
      <c r="O12" s="30"/>
      <c r="P12" s="30"/>
      <c r="Q12" s="30"/>
      <c r="R12" s="31"/>
    </row>
    <row r="13" spans="1:18" x14ac:dyDescent="0.25">
      <c r="A13" s="8"/>
      <c r="B13" s="8"/>
      <c r="C13" s="17"/>
      <c r="D13" s="17"/>
      <c r="E13" s="17"/>
      <c r="F13" s="17"/>
      <c r="G13" s="17"/>
      <c r="H13" s="18"/>
      <c r="I13" s="3"/>
      <c r="J13" s="56"/>
      <c r="K13" s="3"/>
      <c r="L13" s="26">
        <f>-(M4*N6-N4*M6)</f>
        <v>0</v>
      </c>
      <c r="M13" s="27">
        <f>L4*N6-N4*L6</f>
        <v>518.84043750000001</v>
      </c>
      <c r="N13" s="27">
        <f>-(L4*M6-M4*L6)</f>
        <v>0</v>
      </c>
      <c r="O13" s="30"/>
      <c r="P13" s="30"/>
      <c r="Q13" s="30"/>
      <c r="R13" s="31"/>
    </row>
    <row r="14" spans="1:18" x14ac:dyDescent="0.25">
      <c r="A14" s="8"/>
      <c r="B14" s="8"/>
      <c r="C14" s="17"/>
      <c r="D14" s="17"/>
      <c r="E14" s="17"/>
      <c r="F14" s="17"/>
      <c r="G14" s="17"/>
      <c r="H14" s="18"/>
      <c r="I14" s="3"/>
      <c r="J14" s="56"/>
      <c r="K14" s="3"/>
      <c r="L14" s="26">
        <f>M4*N5-N4*M5</f>
        <v>-741.20062499999972</v>
      </c>
      <c r="M14" s="27">
        <f>-(L4*N5-N4*L5)</f>
        <v>0</v>
      </c>
      <c r="N14" s="27">
        <f>L4*M5-M4*L5</f>
        <v>136.12499999999997</v>
      </c>
      <c r="O14" s="30"/>
      <c r="P14" s="30"/>
      <c r="Q14" s="30"/>
      <c r="R14" s="31"/>
    </row>
    <row r="15" spans="1:18" x14ac:dyDescent="0.25">
      <c r="A15" s="8"/>
      <c r="B15" s="8"/>
      <c r="C15" s="17"/>
      <c r="D15" s="17"/>
      <c r="E15" s="17"/>
      <c r="F15" s="17"/>
      <c r="G15" s="17"/>
      <c r="H15" s="18"/>
      <c r="I15" s="3"/>
      <c r="J15" s="56"/>
      <c r="K15" s="3"/>
      <c r="L15" s="23"/>
      <c r="M15" s="30"/>
      <c r="N15" s="30"/>
      <c r="O15" s="30"/>
      <c r="P15" s="30"/>
      <c r="Q15" s="30"/>
      <c r="R15" s="31"/>
    </row>
    <row r="16" spans="1:18" x14ac:dyDescent="0.25">
      <c r="A16" s="8"/>
      <c r="B16" s="8"/>
      <c r="C16" s="17"/>
      <c r="D16" s="17"/>
      <c r="E16" s="17"/>
      <c r="F16" s="17"/>
      <c r="G16" s="17"/>
      <c r="H16" s="18"/>
      <c r="I16" s="3"/>
      <c r="J16" s="56"/>
      <c r="K16" s="3"/>
      <c r="L16" s="23"/>
      <c r="M16" s="24" t="s">
        <v>21</v>
      </c>
      <c r="N16" s="30"/>
      <c r="O16" s="30"/>
      <c r="P16" s="30"/>
      <c r="Q16" s="30"/>
      <c r="R16" s="31"/>
    </row>
    <row r="17" spans="1:18" x14ac:dyDescent="0.25">
      <c r="A17" s="8"/>
      <c r="B17" s="8"/>
      <c r="C17" s="17"/>
      <c r="D17" s="17"/>
      <c r="E17" s="17"/>
      <c r="F17" s="17"/>
      <c r="G17" s="17"/>
      <c r="H17" s="18"/>
      <c r="I17" s="3"/>
      <c r="J17" s="56"/>
      <c r="K17" s="3"/>
      <c r="L17" s="26">
        <f>L12</f>
        <v>6860.9235853124974</v>
      </c>
      <c r="M17" s="27">
        <f>L13</f>
        <v>0</v>
      </c>
      <c r="N17" s="27">
        <f>L14</f>
        <v>-741.20062499999972</v>
      </c>
      <c r="O17" s="30"/>
      <c r="P17" s="30"/>
      <c r="Q17" s="30"/>
      <c r="R17" s="31"/>
    </row>
    <row r="18" spans="1:18" x14ac:dyDescent="0.25">
      <c r="A18" s="8"/>
      <c r="B18" s="8"/>
      <c r="C18" s="17"/>
      <c r="D18" s="17"/>
      <c r="E18" s="17"/>
      <c r="F18" s="17"/>
      <c r="G18" s="17"/>
      <c r="H18" s="18"/>
      <c r="I18" s="3"/>
      <c r="J18" s="56"/>
      <c r="K18" s="3"/>
      <c r="L18" s="26">
        <f>M12</f>
        <v>0</v>
      </c>
      <c r="M18" s="27">
        <f>M13</f>
        <v>518.84043750000001</v>
      </c>
      <c r="N18" s="27">
        <f>M14</f>
        <v>0</v>
      </c>
      <c r="O18" s="30"/>
      <c r="P18" s="30"/>
      <c r="Q18" s="30"/>
      <c r="R18" s="31"/>
    </row>
    <row r="19" spans="1:18" x14ac:dyDescent="0.25">
      <c r="A19" s="8"/>
      <c r="B19" s="8"/>
      <c r="C19" s="17"/>
      <c r="D19" s="17"/>
      <c r="E19" s="17"/>
      <c r="F19" s="17"/>
      <c r="G19" s="17"/>
      <c r="H19" s="18"/>
      <c r="I19" s="3"/>
      <c r="J19" s="56"/>
      <c r="K19" s="3"/>
      <c r="L19" s="26">
        <f>N12</f>
        <v>-741.20062499999972</v>
      </c>
      <c r="M19" s="27">
        <f>N13</f>
        <v>0</v>
      </c>
      <c r="N19" s="27">
        <f>N14</f>
        <v>136.12499999999997</v>
      </c>
      <c r="O19" s="30"/>
      <c r="P19" s="30"/>
      <c r="Q19" s="30"/>
      <c r="R19" s="31"/>
    </row>
    <row r="20" spans="1:18" x14ac:dyDescent="0.25">
      <c r="A20" s="8"/>
      <c r="B20" s="8"/>
      <c r="C20" s="17"/>
      <c r="D20" s="17"/>
      <c r="E20" s="17"/>
      <c r="F20" s="17"/>
      <c r="G20" s="17"/>
      <c r="H20" s="18"/>
      <c r="I20" s="3"/>
      <c r="J20" s="56"/>
      <c r="K20" s="3"/>
      <c r="L20" s="23"/>
      <c r="M20" s="30"/>
      <c r="N20" s="30"/>
      <c r="O20" s="30"/>
      <c r="P20" s="30"/>
      <c r="Q20" s="30" t="s">
        <v>25</v>
      </c>
      <c r="R20" s="31"/>
    </row>
    <row r="21" spans="1:18" x14ac:dyDescent="0.25">
      <c r="A21" s="8"/>
      <c r="B21" s="8"/>
      <c r="C21" s="17"/>
      <c r="D21" s="17"/>
      <c r="E21" s="17"/>
      <c r="F21" s="17"/>
      <c r="G21" s="17"/>
      <c r="H21" s="18"/>
      <c r="I21" s="3"/>
      <c r="J21" s="56"/>
      <c r="K21" s="3"/>
      <c r="L21" s="23"/>
      <c r="M21" s="24" t="s">
        <v>22</v>
      </c>
      <c r="N21" s="30"/>
      <c r="O21" s="30"/>
      <c r="P21" s="28"/>
      <c r="Q21" s="30" t="s">
        <v>23</v>
      </c>
      <c r="R21" s="31"/>
    </row>
    <row r="22" spans="1:18" x14ac:dyDescent="0.25">
      <c r="A22" s="8"/>
      <c r="B22" s="8"/>
      <c r="C22" s="17"/>
      <c r="D22" s="17"/>
      <c r="E22" s="17"/>
      <c r="F22" s="17"/>
      <c r="G22" s="17"/>
      <c r="H22" s="18"/>
      <c r="I22" s="3"/>
      <c r="J22" s="56"/>
      <c r="K22" s="3"/>
      <c r="L22" s="26">
        <f>L17/M8</f>
        <v>0.48571428571428554</v>
      </c>
      <c r="M22" s="27">
        <f>M17/M8</f>
        <v>0</v>
      </c>
      <c r="N22" s="27">
        <f>N17/M8</f>
        <v>-5.2472779745507001E-2</v>
      </c>
      <c r="O22" s="30"/>
      <c r="P22" s="27">
        <f>L22*L4+M22*L5+N22*L6</f>
        <v>1.0000000000000002</v>
      </c>
      <c r="Q22" s="27">
        <f>L22*M4+M22*M5+N22*M6</f>
        <v>0</v>
      </c>
      <c r="R22" s="29">
        <f>L22*N4+M22*N5+N22*N6</f>
        <v>0</v>
      </c>
    </row>
    <row r="23" spans="1:18" x14ac:dyDescent="0.25">
      <c r="A23" s="8"/>
      <c r="B23" s="8"/>
      <c r="C23" s="17"/>
      <c r="D23" s="17"/>
      <c r="E23" s="17"/>
      <c r="F23" s="17"/>
      <c r="G23" s="17"/>
      <c r="H23" s="18"/>
      <c r="I23" s="3"/>
      <c r="J23" s="56"/>
      <c r="K23" s="3"/>
      <c r="L23" s="26">
        <f>L18/M8</f>
        <v>0</v>
      </c>
      <c r="M23" s="27">
        <f>M18/M8</f>
        <v>3.6730945821854918E-2</v>
      </c>
      <c r="N23" s="27">
        <f>N18/M8</f>
        <v>0</v>
      </c>
      <c r="O23" s="30"/>
      <c r="P23" s="27">
        <f>L23*L4+M23*L5+N23*L6</f>
        <v>0</v>
      </c>
      <c r="Q23" s="27">
        <f>M22*L5+M23*M5+N23*N5</f>
        <v>1</v>
      </c>
      <c r="R23" s="29">
        <f>L23*N4+M23*N5+N23*N6</f>
        <v>0</v>
      </c>
    </row>
    <row r="24" spans="1:18" x14ac:dyDescent="0.25">
      <c r="A24" s="8"/>
      <c r="B24" s="8"/>
      <c r="C24" s="17"/>
      <c r="D24" s="17"/>
      <c r="E24" s="17"/>
      <c r="F24" s="17"/>
      <c r="G24" s="17"/>
      <c r="H24" s="18"/>
      <c r="I24" s="3"/>
      <c r="J24" s="56"/>
      <c r="K24" s="3"/>
      <c r="L24" s="26">
        <f>L19/M8</f>
        <v>-5.2472779745507001E-2</v>
      </c>
      <c r="M24" s="27">
        <f>M19/M8</f>
        <v>0</v>
      </c>
      <c r="N24" s="27">
        <f>N19/M8</f>
        <v>9.6368741497717195E-3</v>
      </c>
      <c r="O24" s="30"/>
      <c r="P24" s="27">
        <f>L24*L4+M24*L5+N24*L6</f>
        <v>0</v>
      </c>
      <c r="Q24" s="27">
        <f>L24*M4+M24*M5+N24*M6</f>
        <v>0</v>
      </c>
      <c r="R24" s="29">
        <f>L24*N4+M24*N5+N24*N6</f>
        <v>1.0000000000000002</v>
      </c>
    </row>
    <row r="25" spans="1:18" x14ac:dyDescent="0.25">
      <c r="A25" s="8"/>
      <c r="B25" s="8"/>
      <c r="C25" s="17"/>
      <c r="D25" s="17"/>
      <c r="E25" s="17"/>
      <c r="F25" s="17"/>
      <c r="G25" s="17"/>
      <c r="H25" s="18"/>
      <c r="I25" s="3"/>
      <c r="J25" s="56"/>
      <c r="K25" s="3"/>
      <c r="L25" s="23"/>
      <c r="M25" s="24"/>
      <c r="N25" s="30"/>
      <c r="O25" s="30"/>
      <c r="P25" s="30"/>
      <c r="Q25" s="30"/>
      <c r="R25" s="31"/>
    </row>
    <row r="26" spans="1:18" x14ac:dyDescent="0.25">
      <c r="A26" s="8"/>
      <c r="B26" s="8"/>
      <c r="C26" s="17"/>
      <c r="D26" s="17"/>
      <c r="E26" s="17"/>
      <c r="F26" s="17"/>
      <c r="G26" s="17"/>
      <c r="H26" s="18"/>
      <c r="I26" s="3"/>
      <c r="J26" s="56"/>
      <c r="K26" s="3"/>
      <c r="L26" s="23"/>
      <c r="M26" s="24" t="s">
        <v>22</v>
      </c>
      <c r="N26" s="30"/>
      <c r="O26" s="30"/>
      <c r="P26" s="30"/>
      <c r="Q26" s="30"/>
      <c r="R26" s="31"/>
    </row>
    <row r="27" spans="1:18" x14ac:dyDescent="0.25">
      <c r="A27" s="8"/>
      <c r="B27" s="8"/>
      <c r="C27" s="17"/>
      <c r="D27" s="17"/>
      <c r="E27" s="17"/>
      <c r="F27" s="17"/>
      <c r="G27" s="17"/>
      <c r="H27" s="18"/>
      <c r="I27" s="3"/>
      <c r="J27" s="56"/>
      <c r="K27" s="3"/>
      <c r="L27" s="26">
        <f>L22</f>
        <v>0.48571428571428554</v>
      </c>
      <c r="M27" s="27">
        <f t="shared" ref="M27:N27" si="6">M22</f>
        <v>0</v>
      </c>
      <c r="N27" s="27">
        <f t="shared" si="6"/>
        <v>-5.2472779745507001E-2</v>
      </c>
      <c r="O27" s="30"/>
      <c r="P27" s="27">
        <f>R4</f>
        <v>75.005308862400341</v>
      </c>
      <c r="Q27" s="24"/>
      <c r="R27" s="32">
        <f>L27*P27+M27*P28+N27*P29</f>
        <v>17.002495292051286</v>
      </c>
    </row>
    <row r="28" spans="1:18" x14ac:dyDescent="0.25">
      <c r="A28" s="5"/>
      <c r="B28" s="5"/>
      <c r="C28" s="17"/>
      <c r="D28" s="17"/>
      <c r="E28" s="17"/>
      <c r="F28" s="17"/>
      <c r="G28" s="17"/>
      <c r="H28" s="18"/>
      <c r="I28" s="3"/>
      <c r="J28" s="56"/>
      <c r="K28" s="3"/>
      <c r="L28" s="26">
        <f t="shared" ref="L28:N29" si="7">L23</f>
        <v>0</v>
      </c>
      <c r="M28" s="27">
        <f t="shared" si="7"/>
        <v>3.6730945821854918E-2</v>
      </c>
      <c r="N28" s="27">
        <f t="shared" si="7"/>
        <v>0</v>
      </c>
      <c r="O28" s="24" t="s">
        <v>1</v>
      </c>
      <c r="P28" s="27">
        <f>R5</f>
        <v>4.0881853141432529</v>
      </c>
      <c r="Q28" s="24" t="s">
        <v>18</v>
      </c>
      <c r="R28" s="32">
        <f>L28*P27+M28*P28+N28*P29</f>
        <v>0.15016291328349876</v>
      </c>
    </row>
    <row r="29" spans="1:18" x14ac:dyDescent="0.25">
      <c r="A29" s="5"/>
      <c r="B29" s="5"/>
      <c r="C29" s="17"/>
      <c r="D29" s="17"/>
      <c r="E29" s="17"/>
      <c r="F29" s="17"/>
      <c r="G29" s="17"/>
      <c r="H29" s="18"/>
      <c r="I29" s="3"/>
      <c r="J29" s="56"/>
      <c r="K29" s="3"/>
      <c r="L29" s="26">
        <f t="shared" si="7"/>
        <v>-5.2472779745507001E-2</v>
      </c>
      <c r="M29" s="27">
        <f t="shared" si="7"/>
        <v>0</v>
      </c>
      <c r="N29" s="27">
        <f t="shared" si="7"/>
        <v>9.6368741497717195E-3</v>
      </c>
      <c r="O29" s="30"/>
      <c r="P29" s="27">
        <f>R6</f>
        <v>370.26158745654124</v>
      </c>
      <c r="Q29" s="24"/>
      <c r="R29" s="32">
        <f>L29*P27+M29*P28+N29*P29</f>
        <v>-0.36757273086707443</v>
      </c>
    </row>
    <row r="30" spans="1:18" x14ac:dyDescent="0.25">
      <c r="A30" s="5"/>
      <c r="B30" s="5"/>
      <c r="C30" s="17"/>
      <c r="D30" s="17"/>
      <c r="E30" s="17"/>
      <c r="F30" s="17"/>
      <c r="G30" s="17"/>
      <c r="H30" s="18"/>
      <c r="I30" s="3"/>
      <c r="J30" s="56"/>
      <c r="K30" s="3"/>
      <c r="L30" s="23"/>
      <c r="M30" s="30"/>
      <c r="N30" s="30"/>
      <c r="O30" s="30"/>
      <c r="P30" s="30"/>
      <c r="Q30" s="30"/>
      <c r="R30" s="31"/>
    </row>
    <row r="31" spans="1:18" x14ac:dyDescent="0.25">
      <c r="A31" s="5"/>
      <c r="B31" s="5"/>
      <c r="C31" s="17"/>
      <c r="D31" s="17"/>
      <c r="E31" s="17"/>
      <c r="F31" s="17"/>
      <c r="G31" s="17"/>
      <c r="H31" s="18"/>
      <c r="I31" s="3"/>
      <c r="J31" s="56"/>
      <c r="K31" s="3"/>
      <c r="L31" s="26" t="s">
        <v>6</v>
      </c>
      <c r="M31" s="24"/>
      <c r="N31" s="27">
        <f>R27</f>
        <v>17.002495292051286</v>
      </c>
      <c r="O31" s="30"/>
      <c r="P31" s="30"/>
      <c r="Q31" s="30"/>
      <c r="R31" s="31"/>
    </row>
    <row r="32" spans="1:18" x14ac:dyDescent="0.25">
      <c r="A32" s="5"/>
      <c r="B32" s="5"/>
      <c r="C32" s="17"/>
      <c r="D32" s="17"/>
      <c r="E32" s="17"/>
      <c r="F32" s="17"/>
      <c r="G32" s="17"/>
      <c r="H32" s="18"/>
      <c r="I32" s="3"/>
      <c r="J32" s="56"/>
      <c r="K32" s="3"/>
      <c r="L32" s="26" t="s">
        <v>5</v>
      </c>
      <c r="M32" s="24" t="s">
        <v>18</v>
      </c>
      <c r="N32" s="27">
        <f t="shared" ref="N32:N33" si="8">R28</f>
        <v>0.15016291328349876</v>
      </c>
      <c r="O32" s="30"/>
      <c r="P32" s="30"/>
      <c r="Q32" s="30"/>
      <c r="R32" s="31"/>
    </row>
    <row r="33" spans="1:25" ht="15.75" thickBot="1" x14ac:dyDescent="0.3">
      <c r="A33" s="5"/>
      <c r="B33" s="5"/>
      <c r="C33" s="17"/>
      <c r="D33" s="17"/>
      <c r="E33" s="17"/>
      <c r="F33" s="17"/>
      <c r="G33" s="17"/>
      <c r="H33" s="18"/>
      <c r="I33" s="3"/>
      <c r="J33" s="56"/>
      <c r="K33" s="3"/>
      <c r="L33" s="33" t="s">
        <v>4</v>
      </c>
      <c r="M33" s="34"/>
      <c r="N33" s="35">
        <f t="shared" si="8"/>
        <v>-0.36757273086707443</v>
      </c>
      <c r="O33" s="36"/>
      <c r="P33" s="36"/>
      <c r="Q33" s="36"/>
      <c r="R33" s="37"/>
    </row>
    <row r="34" spans="1:25" x14ac:dyDescent="0.25">
      <c r="A34" s="5"/>
      <c r="B34" s="5"/>
      <c r="C34" s="17"/>
      <c r="D34" s="17"/>
      <c r="E34" s="17"/>
      <c r="F34" s="17"/>
      <c r="G34" s="17"/>
      <c r="H34" s="18"/>
      <c r="I34" s="3"/>
      <c r="J34" s="56"/>
      <c r="K34" s="3"/>
      <c r="L34" s="3"/>
    </row>
    <row r="35" spans="1:25" x14ac:dyDescent="0.25">
      <c r="A35" s="7"/>
      <c r="B35" s="13"/>
      <c r="C35" s="17"/>
      <c r="D35" s="17"/>
      <c r="E35" s="17"/>
      <c r="F35" s="17"/>
      <c r="G35" s="17"/>
      <c r="H35" s="18"/>
      <c r="I35" s="3"/>
      <c r="J35" s="56"/>
      <c r="K35" s="3"/>
      <c r="L35" s="70" t="s">
        <v>33</v>
      </c>
      <c r="M35" s="70"/>
      <c r="N35" s="70"/>
      <c r="O35" s="70"/>
      <c r="P35" s="70"/>
      <c r="Q35" s="70"/>
      <c r="R35" s="70"/>
      <c r="S35" s="70"/>
      <c r="T35" s="70"/>
      <c r="U35" s="70"/>
      <c r="V35" s="70"/>
      <c r="W35" s="70"/>
      <c r="X35" s="70"/>
      <c r="Y35" s="70"/>
    </row>
    <row r="36" spans="1:25" x14ac:dyDescent="0.25">
      <c r="A36" s="7"/>
      <c r="B36" s="13"/>
      <c r="C36" s="17"/>
      <c r="D36" s="17"/>
      <c r="E36" s="17"/>
      <c r="F36" s="17"/>
      <c r="G36" s="17"/>
      <c r="H36" s="18"/>
      <c r="I36" s="3"/>
      <c r="J36" s="56"/>
      <c r="K36" s="3"/>
      <c r="L36" s="70" t="s">
        <v>32</v>
      </c>
      <c r="M36" s="70"/>
      <c r="N36" s="70"/>
      <c r="O36" s="70"/>
      <c r="P36" s="70"/>
      <c r="Q36" s="70"/>
      <c r="R36" s="70"/>
      <c r="S36" s="70"/>
      <c r="T36" s="70"/>
      <c r="U36" s="70"/>
      <c r="V36" s="70"/>
      <c r="W36" s="70"/>
      <c r="X36" s="70"/>
      <c r="Y36" s="70"/>
    </row>
    <row r="37" spans="1:25" ht="15.75" thickBot="1" x14ac:dyDescent="0.3">
      <c r="A37" s="55"/>
      <c r="B37" s="14"/>
      <c r="C37" s="19"/>
      <c r="D37" s="19"/>
      <c r="E37" s="19"/>
      <c r="F37" s="19"/>
      <c r="G37" s="19"/>
      <c r="H37" s="20"/>
      <c r="I37" s="3"/>
      <c r="J37" s="57"/>
      <c r="K37" s="3"/>
      <c r="L37" s="3"/>
    </row>
    <row r="38" spans="1:25" x14ac:dyDescent="0.25">
      <c r="A38" s="6"/>
      <c r="B38" s="12"/>
      <c r="C38" s="3"/>
      <c r="D38" s="3"/>
      <c r="E38" s="3"/>
      <c r="F38" s="3"/>
      <c r="G38" s="3"/>
      <c r="H38" s="3"/>
      <c r="I38" s="3"/>
      <c r="J38" s="3"/>
      <c r="K38" s="3"/>
      <c r="L38" s="3"/>
    </row>
    <row r="39" spans="1:25" x14ac:dyDescent="0.25">
      <c r="A39" s="85">
        <f>COUNTIF(A1:A34,"&lt;100000000000000")</f>
        <v>5</v>
      </c>
      <c r="B39" s="85" t="s">
        <v>12</v>
      </c>
      <c r="C39" s="17"/>
      <c r="D39" s="17"/>
      <c r="E39" s="17"/>
      <c r="F39" s="17"/>
      <c r="G39" s="17"/>
      <c r="H39" s="17"/>
      <c r="I39" s="3"/>
      <c r="J39" s="3"/>
      <c r="K39" s="3"/>
      <c r="L39" s="3"/>
      <c r="P39" s="71" t="s">
        <v>41</v>
      </c>
      <c r="Q39" s="72"/>
      <c r="R39" s="72"/>
      <c r="S39" s="72"/>
      <c r="T39" s="72"/>
      <c r="U39" s="72"/>
      <c r="V39" s="72"/>
      <c r="W39" s="72"/>
      <c r="X39" s="72"/>
      <c r="Y39" s="72"/>
    </row>
    <row r="40" spans="1:25" x14ac:dyDescent="0.25">
      <c r="A40" s="85">
        <f>SUM(A2:A34)</f>
        <v>0</v>
      </c>
      <c r="B40" s="85" t="s">
        <v>15</v>
      </c>
      <c r="C40" s="17">
        <f t="shared" ref="C40" si="9">SUM(C2:C34)</f>
        <v>75.005308862400341</v>
      </c>
      <c r="D40" s="17">
        <f>SUM(D2:D34)</f>
        <v>27.224999999999994</v>
      </c>
      <c r="E40" s="17">
        <f>SUM(E2:E34)</f>
        <v>0</v>
      </c>
      <c r="F40" s="17">
        <f>SUM(F2:F34)</f>
        <v>252.00821249999996</v>
      </c>
      <c r="G40" s="17">
        <f>SUM(G2:G34)</f>
        <v>4.0881853141432529</v>
      </c>
      <c r="H40" s="17">
        <f>SUM(H2:H34)</f>
        <v>370.26158745654124</v>
      </c>
      <c r="I40" s="3"/>
      <c r="J40" s="3"/>
      <c r="K40" s="3"/>
      <c r="L40" s="3" t="s">
        <v>24</v>
      </c>
      <c r="P40" s="72"/>
      <c r="Q40" s="72"/>
      <c r="R40" s="72"/>
      <c r="S40" s="72"/>
      <c r="T40" s="72"/>
      <c r="U40" s="72"/>
      <c r="V40" s="72"/>
      <c r="W40" s="72"/>
      <c r="X40" s="72"/>
      <c r="Y40" s="72"/>
    </row>
    <row r="41" spans="1:25" x14ac:dyDescent="0.25">
      <c r="L41" s="9" t="s">
        <v>0</v>
      </c>
      <c r="M41" s="9">
        <f>EXP(N31-N32*N32/(4*N33))</f>
        <v>24589538.469659738</v>
      </c>
      <c r="P41" s="72"/>
      <c r="Q41" s="72"/>
      <c r="R41" s="72"/>
      <c r="S41" s="72"/>
      <c r="T41" s="72"/>
      <c r="U41" s="72"/>
      <c r="V41" s="72"/>
      <c r="W41" s="72"/>
      <c r="X41" s="72"/>
      <c r="Y41" s="72"/>
    </row>
    <row r="42" spans="1:25" x14ac:dyDescent="0.25">
      <c r="L42" s="10" t="s">
        <v>13</v>
      </c>
      <c r="M42" s="9">
        <f>SQRT((-1/(2*N33)))</f>
        <v>1.1663082823918236</v>
      </c>
      <c r="P42" s="72"/>
      <c r="Q42" s="72"/>
      <c r="R42" s="72"/>
      <c r="S42" s="72"/>
      <c r="T42" s="72"/>
      <c r="U42" s="72"/>
      <c r="V42" s="72"/>
      <c r="W42" s="72"/>
      <c r="X42" s="72"/>
      <c r="Y42" s="72"/>
    </row>
    <row r="43" spans="1:25" x14ac:dyDescent="0.25">
      <c r="L43" s="10" t="s">
        <v>14</v>
      </c>
      <c r="M43" s="9">
        <f>-N32/(2*N33)</f>
        <v>0.20426285830463614</v>
      </c>
      <c r="P43" s="72"/>
      <c r="Q43" s="72"/>
      <c r="R43" s="72"/>
      <c r="S43" s="72"/>
      <c r="T43" s="72"/>
      <c r="U43" s="72"/>
      <c r="V43" s="72"/>
      <c r="W43" s="72"/>
      <c r="X43" s="72"/>
      <c r="Y43" s="72"/>
    </row>
    <row r="44" spans="1:25" ht="15.75" thickBot="1" x14ac:dyDescent="0.3">
      <c r="L44" s="2"/>
      <c r="M44" s="2"/>
      <c r="P44" s="72"/>
      <c r="Q44" s="72"/>
      <c r="R44" s="72"/>
      <c r="S44" s="72"/>
      <c r="T44" s="72"/>
      <c r="U44" s="72"/>
      <c r="V44" s="72"/>
      <c r="W44" s="72"/>
      <c r="X44" s="72"/>
      <c r="Y44" s="72"/>
    </row>
    <row r="45" spans="1:25" ht="15.75" thickBot="1" x14ac:dyDescent="0.3">
      <c r="L45" s="63" t="s">
        <v>26</v>
      </c>
      <c r="M45" s="64">
        <f>2*SQRT(2*LN(2))*M42</f>
        <v>2.7464461220618834</v>
      </c>
      <c r="P45" s="72"/>
      <c r="Q45" s="72"/>
      <c r="R45" s="72"/>
      <c r="S45" s="72"/>
      <c r="T45" s="72"/>
      <c r="U45" s="72"/>
      <c r="V45" s="72"/>
      <c r="W45" s="72"/>
      <c r="X45" s="72"/>
      <c r="Y45" s="72"/>
    </row>
    <row r="46" spans="1:25" x14ac:dyDescent="0.25">
      <c r="P46" s="73"/>
      <c r="Q46" s="73"/>
      <c r="R46" s="73"/>
      <c r="S46" s="73"/>
      <c r="T46" s="73"/>
      <c r="U46" s="73"/>
      <c r="V46" s="73"/>
      <c r="W46" s="73"/>
      <c r="X46" s="73"/>
      <c r="Y46" s="73"/>
    </row>
  </sheetData>
  <mergeCells count="4">
    <mergeCell ref="L2:N2"/>
    <mergeCell ref="L35:Y35"/>
    <mergeCell ref="L36:Y36"/>
    <mergeCell ref="P39:Y46"/>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0F26-0890-488A-8733-59EC459B287B}">
  <dimension ref="A1:AC46"/>
  <sheetViews>
    <sheetView tabSelected="1" zoomScale="85" zoomScaleNormal="85" workbookViewId="0">
      <selection activeCell="L45" sqref="L45"/>
    </sheetView>
  </sheetViews>
  <sheetFormatPr baseColWidth="10" defaultRowHeight="15" x14ac:dyDescent="0.25"/>
  <cols>
    <col min="1" max="1" width="7.5703125" style="1" customWidth="1"/>
    <col min="2" max="2" width="15.140625" style="1" customWidth="1"/>
    <col min="3" max="3" width="6.7109375" style="1" customWidth="1"/>
    <col min="4" max="4" width="16" style="1" customWidth="1"/>
    <col min="5" max="5" width="7.85546875" style="2" customWidth="1"/>
    <col min="6" max="6" width="7.28515625" style="2" customWidth="1"/>
    <col min="7" max="7" width="8.5703125" style="2" customWidth="1"/>
    <col min="8" max="10" width="8.28515625" style="2" customWidth="1"/>
    <col min="11" max="11" width="1" style="2" customWidth="1"/>
    <col min="12" max="12" width="7.7109375" customWidth="1"/>
    <col min="13" max="13" width="9" customWidth="1"/>
    <col min="14" max="14" width="7.7109375" customWidth="1"/>
    <col min="15" max="15" width="2" customWidth="1"/>
    <col min="16" max="16" width="7.7109375" customWidth="1"/>
    <col min="17" max="17" width="8.85546875" customWidth="1"/>
    <col min="18" max="18" width="11.85546875" customWidth="1"/>
    <col min="19" max="19" width="1.5703125" customWidth="1"/>
    <col min="20" max="20" width="14.5703125" customWidth="1"/>
  </cols>
  <sheetData>
    <row r="1" spans="1:20" ht="15.75" thickBot="1" x14ac:dyDescent="0.3">
      <c r="A1" s="78" t="s">
        <v>1</v>
      </c>
      <c r="B1" s="79" t="s">
        <v>39</v>
      </c>
      <c r="C1" s="86" t="s">
        <v>40</v>
      </c>
      <c r="D1" s="79" t="s">
        <v>37</v>
      </c>
      <c r="E1" s="15" t="s">
        <v>3</v>
      </c>
      <c r="F1" s="15" t="s">
        <v>9</v>
      </c>
      <c r="G1" s="15" t="s">
        <v>10</v>
      </c>
      <c r="H1" s="15" t="s">
        <v>11</v>
      </c>
      <c r="I1" s="15" t="s">
        <v>16</v>
      </c>
      <c r="J1" s="16" t="s">
        <v>17</v>
      </c>
      <c r="L1" s="2"/>
      <c r="T1" s="83" t="s">
        <v>38</v>
      </c>
    </row>
    <row r="2" spans="1:20" x14ac:dyDescent="0.25">
      <c r="A2" s="80">
        <v>-1.6</v>
      </c>
      <c r="B2" s="81">
        <f ca="1">C2+D2</f>
        <v>0.28303730045319409</v>
      </c>
      <c r="C2" s="81">
        <f ca="1">RANDBETWEEN(-$B$44,$B$44)/1000</f>
        <v>5.0000000000000001E-3</v>
      </c>
      <c r="D2" s="81">
        <f>$B$40*EXP(-((A2-$B$42)^2)/(2*$B$41*$B$41))</f>
        <v>0.27803730045319408</v>
      </c>
      <c r="E2" s="17">
        <f ca="1">LN(B2)</f>
        <v>-1.2621765863027128</v>
      </c>
      <c r="F2" s="17">
        <f>A2*A2</f>
        <v>2.5600000000000005</v>
      </c>
      <c r="G2" s="17">
        <f>F2*A2</f>
        <v>-4.096000000000001</v>
      </c>
      <c r="H2" s="17">
        <f>F2*F2</f>
        <v>6.553600000000003</v>
      </c>
      <c r="I2" s="17">
        <f ca="1">A2*E2</f>
        <v>2.0194825380843406</v>
      </c>
      <c r="J2" s="18">
        <f ca="1">E2*F2</f>
        <v>-3.2311720609349455</v>
      </c>
      <c r="K2" s="3"/>
      <c r="L2" s="68" t="s">
        <v>28</v>
      </c>
      <c r="M2" s="74"/>
      <c r="N2" s="74"/>
      <c r="O2" s="74"/>
      <c r="P2" s="74"/>
      <c r="Q2" s="38"/>
      <c r="R2" s="39" t="s">
        <v>8</v>
      </c>
      <c r="T2" s="84">
        <f ca="1">$Q$40*EXP(-((A2-$Q$42)^2)/(2*$Q$41*$Q$41))</f>
        <v>0.28113290815289332</v>
      </c>
    </row>
    <row r="3" spans="1:20" x14ac:dyDescent="0.25">
      <c r="A3" s="80">
        <f>0.1+A2</f>
        <v>-1.5</v>
      </c>
      <c r="B3" s="81">
        <f t="shared" ref="B3:B34" ca="1" si="0">C3+D3</f>
        <v>0.22565246735834973</v>
      </c>
      <c r="C3" s="81">
        <f t="shared" ref="C3:C34" ca="1" si="1">RANDBETWEEN(-$B$44,$B$44)/1000</f>
        <v>-9.9000000000000005E-2</v>
      </c>
      <c r="D3" s="81">
        <f t="shared" ref="D3:D34" si="2">$B$40*EXP(-((A3-$B$42)^2)/(2*$B$41*$B$41))</f>
        <v>0.32465246735834974</v>
      </c>
      <c r="E3" s="17">
        <f t="shared" ref="E3:E34" ca="1" si="3">LN(B3)</f>
        <v>-1.488759218320205</v>
      </c>
      <c r="F3" s="17">
        <f t="shared" ref="F3:F34" si="4">A3*A3</f>
        <v>2.25</v>
      </c>
      <c r="G3" s="17">
        <f t="shared" ref="G3:G34" si="5">F3*A3</f>
        <v>-3.375</v>
      </c>
      <c r="H3" s="17">
        <f t="shared" ref="H3:H34" si="6">F3*F3</f>
        <v>5.0625</v>
      </c>
      <c r="I3" s="17">
        <f t="shared" ref="I3:I34" ca="1" si="7">A3*E3</f>
        <v>2.2331388274803077</v>
      </c>
      <c r="J3" s="18">
        <f t="shared" ref="J3:J34" ca="1" si="8">E3*F3</f>
        <v>-3.3497082412204611</v>
      </c>
      <c r="K3" s="3"/>
      <c r="L3" s="40"/>
      <c r="M3" s="41" t="s">
        <v>7</v>
      </c>
      <c r="N3" s="41"/>
      <c r="O3" s="41"/>
      <c r="P3" s="41"/>
      <c r="Q3" s="41"/>
      <c r="R3" s="42"/>
      <c r="T3" s="84">
        <f ca="1">$Q$40*EXP(-((A3-$Q$42)^2)/(2*$Q$41*$Q$41))</f>
        <v>0.32718959843176559</v>
      </c>
    </row>
    <row r="4" spans="1:20" x14ac:dyDescent="0.25">
      <c r="A4" s="80">
        <f t="shared" ref="A4:A34" si="9">0.1+A3</f>
        <v>-1.4</v>
      </c>
      <c r="B4" s="81">
        <f t="shared" ca="1" si="0"/>
        <v>0.45831109885139959</v>
      </c>
      <c r="C4" s="81">
        <f t="shared" ca="1" si="1"/>
        <v>8.3000000000000004E-2</v>
      </c>
      <c r="D4" s="81">
        <f t="shared" si="2"/>
        <v>0.37531109885139957</v>
      </c>
      <c r="E4" s="17">
        <f t="shared" ca="1" si="3"/>
        <v>-0.78020707032324699</v>
      </c>
      <c r="F4" s="17">
        <f t="shared" si="4"/>
        <v>1.9599999999999997</v>
      </c>
      <c r="G4" s="17">
        <f t="shared" si="5"/>
        <v>-2.7439999999999993</v>
      </c>
      <c r="H4" s="17">
        <f t="shared" si="6"/>
        <v>3.8415999999999988</v>
      </c>
      <c r="I4" s="17">
        <f t="shared" ca="1" si="7"/>
        <v>1.0922898984525458</v>
      </c>
      <c r="J4" s="18">
        <f t="shared" ca="1" si="8"/>
        <v>-1.5292058578335639</v>
      </c>
      <c r="K4" s="3"/>
      <c r="L4" s="43">
        <f>A36</f>
        <v>33</v>
      </c>
      <c r="M4" s="44">
        <f>A37</f>
        <v>4.4408920985006262E-15</v>
      </c>
      <c r="N4" s="44">
        <f>F37</f>
        <v>29.919999999999998</v>
      </c>
      <c r="O4" s="45"/>
      <c r="P4" s="44" t="s">
        <v>6</v>
      </c>
      <c r="Q4" s="41"/>
      <c r="R4" s="46">
        <f ca="1">E37</f>
        <v>-14.714363053375157</v>
      </c>
      <c r="T4" s="84">
        <f ca="1">$Q$40*EXP(-((A4-$Q$42)^2)/(2*$Q$41*$Q$41))</f>
        <v>0.37711429378033107</v>
      </c>
    </row>
    <row r="5" spans="1:20" x14ac:dyDescent="0.25">
      <c r="A5" s="80">
        <f t="shared" si="9"/>
        <v>-1.2999999999999998</v>
      </c>
      <c r="B5" s="81">
        <f t="shared" ca="1" si="0"/>
        <v>0.49355735821073926</v>
      </c>
      <c r="C5" s="81">
        <f t="shared" ca="1" si="1"/>
        <v>6.4000000000000001E-2</v>
      </c>
      <c r="D5" s="81">
        <f t="shared" si="2"/>
        <v>0.42955735821073926</v>
      </c>
      <c r="E5" s="17">
        <f t="shared" ca="1" si="3"/>
        <v>-0.70611619948509452</v>
      </c>
      <c r="F5" s="17">
        <f t="shared" si="4"/>
        <v>1.6899999999999995</v>
      </c>
      <c r="G5" s="17">
        <f t="shared" si="5"/>
        <v>-2.1969999999999992</v>
      </c>
      <c r="H5" s="17">
        <f t="shared" si="6"/>
        <v>2.8560999999999983</v>
      </c>
      <c r="I5" s="17">
        <f t="shared" ca="1" si="7"/>
        <v>0.91795105933062271</v>
      </c>
      <c r="J5" s="18">
        <f t="shared" ca="1" si="8"/>
        <v>-1.1933363771298093</v>
      </c>
      <c r="K5" s="3"/>
      <c r="L5" s="43">
        <f>A37</f>
        <v>4.4408920985006262E-15</v>
      </c>
      <c r="M5" s="44">
        <f>F37</f>
        <v>29.919999999999998</v>
      </c>
      <c r="N5" s="44">
        <f>G37</f>
        <v>7.9936057773011271E-15</v>
      </c>
      <c r="O5" s="45" t="s">
        <v>1</v>
      </c>
      <c r="P5" s="44" t="s">
        <v>5</v>
      </c>
      <c r="Q5" s="41" t="s">
        <v>18</v>
      </c>
      <c r="R5" s="46">
        <f ca="1">I37</f>
        <v>0.39005823650603944</v>
      </c>
      <c r="T5" s="84">
        <f ca="1">$Q$40*EXP(-((A5-$Q$42)^2)/(2*$Q$41*$Q$41))</f>
        <v>0.43045940434896718</v>
      </c>
    </row>
    <row r="6" spans="1:20" x14ac:dyDescent="0.25">
      <c r="A6" s="80">
        <f t="shared" si="9"/>
        <v>-1.1999999999999997</v>
      </c>
      <c r="B6" s="81">
        <f t="shared" ca="1" si="0"/>
        <v>0.58675225595997182</v>
      </c>
      <c r="C6" s="81">
        <f t="shared" ca="1" si="1"/>
        <v>0.1</v>
      </c>
      <c r="D6" s="81">
        <f t="shared" si="2"/>
        <v>0.48675225595997185</v>
      </c>
      <c r="E6" s="17">
        <f t="shared" ca="1" si="3"/>
        <v>-0.53315259941822202</v>
      </c>
      <c r="F6" s="17">
        <f t="shared" si="4"/>
        <v>1.4399999999999993</v>
      </c>
      <c r="G6" s="17">
        <f t="shared" si="5"/>
        <v>-1.7279999999999986</v>
      </c>
      <c r="H6" s="17">
        <f t="shared" si="6"/>
        <v>2.0735999999999981</v>
      </c>
      <c r="I6" s="17">
        <f t="shared" ca="1" si="7"/>
        <v>0.63978311930186627</v>
      </c>
      <c r="J6" s="18">
        <f t="shared" ca="1" si="8"/>
        <v>-0.76773974316223936</v>
      </c>
      <c r="K6" s="3"/>
      <c r="L6" s="43">
        <f>F37</f>
        <v>29.919999999999998</v>
      </c>
      <c r="M6" s="44">
        <f>G37</f>
        <v>7.9936057773011271E-15</v>
      </c>
      <c r="N6" s="44">
        <f>H37</f>
        <v>48.769599999999997</v>
      </c>
      <c r="O6" s="45"/>
      <c r="P6" s="44" t="s">
        <v>4</v>
      </c>
      <c r="Q6" s="41"/>
      <c r="R6" s="46">
        <f ca="1">J37</f>
        <v>-23.84154849149834</v>
      </c>
      <c r="T6" s="84">
        <f ca="1">$Q$40*EXP(-((A6-$Q$42)^2)/(2*$Q$41*$Q$41))</f>
        <v>0.48660560658685759</v>
      </c>
    </row>
    <row r="7" spans="1:20" x14ac:dyDescent="0.25">
      <c r="A7" s="80">
        <f t="shared" si="9"/>
        <v>-1.0999999999999996</v>
      </c>
      <c r="B7" s="81">
        <f t="shared" ca="1" si="0"/>
        <v>0.45207442663970965</v>
      </c>
      <c r="C7" s="81">
        <f t="shared" ca="1" si="1"/>
        <v>-9.4E-2</v>
      </c>
      <c r="D7" s="81">
        <f t="shared" si="2"/>
        <v>0.54607442663970962</v>
      </c>
      <c r="E7" s="17">
        <f t="shared" ca="1" si="3"/>
        <v>-0.79390845199766991</v>
      </c>
      <c r="F7" s="17">
        <f t="shared" si="4"/>
        <v>1.2099999999999993</v>
      </c>
      <c r="G7" s="17">
        <f t="shared" si="5"/>
        <v>-1.3309999999999989</v>
      </c>
      <c r="H7" s="17">
        <f t="shared" si="6"/>
        <v>1.4640999999999984</v>
      </c>
      <c r="I7" s="17">
        <f t="shared" ca="1" si="7"/>
        <v>0.8732992971974366</v>
      </c>
      <c r="J7" s="18">
        <f t="shared" ca="1" si="8"/>
        <v>-0.96062922691718</v>
      </c>
      <c r="K7" s="3"/>
      <c r="L7" s="40"/>
      <c r="M7" s="41"/>
      <c r="N7" s="41"/>
      <c r="O7" s="41"/>
      <c r="P7" s="41"/>
      <c r="Q7" s="41"/>
      <c r="R7" s="42"/>
      <c r="T7" s="84">
        <f ca="1">$Q$40*EXP(-((A7-$Q$42)^2)/(2*$Q$41*$Q$41))</f>
        <v>0.54476314453945973</v>
      </c>
    </row>
    <row r="8" spans="1:20" x14ac:dyDescent="0.25">
      <c r="A8" s="80">
        <f t="shared" si="9"/>
        <v>-0.99999999999999967</v>
      </c>
      <c r="B8" s="81">
        <f t="shared" ca="1" si="0"/>
        <v>0.54453065971263359</v>
      </c>
      <c r="C8" s="81">
        <f t="shared" ca="1" si="1"/>
        <v>-6.2E-2</v>
      </c>
      <c r="D8" s="81">
        <f t="shared" si="2"/>
        <v>0.60653065971263365</v>
      </c>
      <c r="E8" s="17">
        <f t="shared" ca="1" si="3"/>
        <v>-0.60783103018217555</v>
      </c>
      <c r="F8" s="17">
        <f t="shared" si="4"/>
        <v>0.99999999999999933</v>
      </c>
      <c r="G8" s="17">
        <f t="shared" si="5"/>
        <v>-0.999999999999999</v>
      </c>
      <c r="H8" s="17">
        <f t="shared" si="6"/>
        <v>0.99999999999999867</v>
      </c>
      <c r="I8" s="17">
        <f t="shared" ca="1" si="7"/>
        <v>0.60783103018217532</v>
      </c>
      <c r="J8" s="18">
        <f t="shared" ca="1" si="8"/>
        <v>-0.6078310301821751</v>
      </c>
      <c r="K8" s="3"/>
      <c r="L8" s="40" t="s">
        <v>19</v>
      </c>
      <c r="M8" s="47">
        <f>L4*(M5*N6-N5*M6)-M4*(L5*N6-N5*L6)+N4*(L5*M6-M5*L6)</f>
        <v>21368.576767999999</v>
      </c>
      <c r="N8" s="47"/>
      <c r="O8" s="47"/>
      <c r="P8" s="47"/>
      <c r="Q8" s="47"/>
      <c r="R8" s="48"/>
      <c r="T8" s="84">
        <f ca="1">$Q$40*EXP(-((A8-$Q$42)^2)/(2*$Q$41*$Q$41))</f>
        <v>0.60398204635427488</v>
      </c>
    </row>
    <row r="9" spans="1:20" x14ac:dyDescent="0.25">
      <c r="A9" s="80">
        <f t="shared" si="9"/>
        <v>-0.89999999999999969</v>
      </c>
      <c r="B9" s="81">
        <f t="shared" ca="1" si="0"/>
        <v>0.71397681085847464</v>
      </c>
      <c r="C9" s="81">
        <f t="shared" ca="1" si="1"/>
        <v>4.7E-2</v>
      </c>
      <c r="D9" s="81">
        <f t="shared" si="2"/>
        <v>0.6669768108584746</v>
      </c>
      <c r="E9" s="17">
        <f t="shared" ca="1" si="3"/>
        <v>-0.33690479495921871</v>
      </c>
      <c r="F9" s="17">
        <f t="shared" si="4"/>
        <v>0.80999999999999939</v>
      </c>
      <c r="G9" s="17">
        <f t="shared" si="5"/>
        <v>-0.7289999999999992</v>
      </c>
      <c r="H9" s="17">
        <f t="shared" si="6"/>
        <v>0.65609999999999902</v>
      </c>
      <c r="I9" s="17">
        <f t="shared" ca="1" si="7"/>
        <v>0.30321431546329675</v>
      </c>
      <c r="J9" s="18">
        <f t="shared" ca="1" si="8"/>
        <v>-0.27289288391696698</v>
      </c>
      <c r="K9" s="3"/>
      <c r="L9" s="40"/>
      <c r="M9" s="47"/>
      <c r="N9" s="47"/>
      <c r="O9" s="47"/>
      <c r="P9" s="47"/>
      <c r="Q9" s="47"/>
      <c r="R9" s="48"/>
      <c r="T9" s="84">
        <f ca="1">$Q$40*EXP(-((A9-$Q$42)^2)/(2*$Q$41*$Q$41))</f>
        <v>0.6631717868098288</v>
      </c>
    </row>
    <row r="10" spans="1:20" x14ac:dyDescent="0.25">
      <c r="A10" s="80">
        <f t="shared" si="9"/>
        <v>-0.79999999999999971</v>
      </c>
      <c r="B10" s="81">
        <f t="shared" ca="1" si="0"/>
        <v>0.70814903707369103</v>
      </c>
      <c r="C10" s="81">
        <f t="shared" ca="1" si="1"/>
        <v>-1.7999999999999999E-2</v>
      </c>
      <c r="D10" s="81">
        <f t="shared" si="2"/>
        <v>0.72614903707369105</v>
      </c>
      <c r="E10" s="17">
        <f t="shared" ca="1" si="3"/>
        <v>-0.34510070309997581</v>
      </c>
      <c r="F10" s="17">
        <f t="shared" si="4"/>
        <v>0.63999999999999957</v>
      </c>
      <c r="G10" s="17">
        <f t="shared" si="5"/>
        <v>-0.51199999999999946</v>
      </c>
      <c r="H10" s="17">
        <f t="shared" si="6"/>
        <v>0.40959999999999946</v>
      </c>
      <c r="I10" s="17">
        <f t="shared" ca="1" si="7"/>
        <v>0.27608056247998053</v>
      </c>
      <c r="J10" s="18">
        <f t="shared" ca="1" si="8"/>
        <v>-0.22086444998398438</v>
      </c>
      <c r="K10" s="3"/>
      <c r="L10" s="40"/>
      <c r="M10" s="47"/>
      <c r="N10" s="47"/>
      <c r="O10" s="47"/>
      <c r="P10" s="47"/>
      <c r="Q10" s="47"/>
      <c r="R10" s="48"/>
      <c r="T10" s="84">
        <f ca="1">$Q$40*EXP(-((A10-$Q$42)^2)/(2*$Q$41*$Q$41))</f>
        <v>0.72113032008855271</v>
      </c>
    </row>
    <row r="11" spans="1:20" x14ac:dyDescent="0.25">
      <c r="A11" s="80">
        <f t="shared" si="9"/>
        <v>-0.69999999999999973</v>
      </c>
      <c r="B11" s="81">
        <f t="shared" ca="1" si="0"/>
        <v>0.84770453824186842</v>
      </c>
      <c r="C11" s="81">
        <f t="shared" ca="1" si="1"/>
        <v>6.5000000000000002E-2</v>
      </c>
      <c r="D11" s="81">
        <f t="shared" si="2"/>
        <v>0.78270453824186836</v>
      </c>
      <c r="E11" s="17">
        <f t="shared" ca="1" si="3"/>
        <v>-0.16522312578783083</v>
      </c>
      <c r="F11" s="17">
        <f t="shared" si="4"/>
        <v>0.4899999999999996</v>
      </c>
      <c r="G11" s="17">
        <f t="shared" si="5"/>
        <v>-0.34299999999999958</v>
      </c>
      <c r="H11" s="17">
        <f t="shared" si="6"/>
        <v>0.24009999999999962</v>
      </c>
      <c r="I11" s="17">
        <f t="shared" ca="1" si="7"/>
        <v>0.11565618805148153</v>
      </c>
      <c r="J11" s="18">
        <f t="shared" ca="1" si="8"/>
        <v>-8.0959331636037038E-2</v>
      </c>
      <c r="K11" s="3"/>
      <c r="L11" s="40"/>
      <c r="M11" s="47" t="s">
        <v>20</v>
      </c>
      <c r="N11" s="47"/>
      <c r="O11" s="47"/>
      <c r="P11" s="47"/>
      <c r="Q11" s="47"/>
      <c r="R11" s="48"/>
      <c r="T11" s="84">
        <f ca="1">$Q$40*EXP(-((A11-$Q$42)^2)/(2*$Q$41*$Q$41))</f>
        <v>0.77658173455672319</v>
      </c>
    </row>
    <row r="12" spans="1:20" x14ac:dyDescent="0.25">
      <c r="A12" s="80">
        <f t="shared" si="9"/>
        <v>-0.59999999999999976</v>
      </c>
      <c r="B12" s="81">
        <f t="shared" ca="1" si="0"/>
        <v>0.92627021141127208</v>
      </c>
      <c r="C12" s="81">
        <f t="shared" ca="1" si="1"/>
        <v>9.0999999999999998E-2</v>
      </c>
      <c r="D12" s="81">
        <f t="shared" si="2"/>
        <v>0.83527021141127211</v>
      </c>
      <c r="E12" s="17">
        <f t="shared" ca="1" si="3"/>
        <v>-7.658928192297472E-2</v>
      </c>
      <c r="F12" s="17">
        <f t="shared" si="4"/>
        <v>0.35999999999999971</v>
      </c>
      <c r="G12" s="17">
        <f t="shared" si="5"/>
        <v>-0.21599999999999975</v>
      </c>
      <c r="H12" s="17">
        <f t="shared" si="6"/>
        <v>0.1295999999999998</v>
      </c>
      <c r="I12" s="17">
        <f t="shared" ca="1" si="7"/>
        <v>4.5953569153784811E-2</v>
      </c>
      <c r="J12" s="18">
        <f t="shared" ca="1" si="8"/>
        <v>-2.7572141492270878E-2</v>
      </c>
      <c r="K12" s="3"/>
      <c r="L12" s="43">
        <f>M5*N6-N5*M6</f>
        <v>1459.1864319999997</v>
      </c>
      <c r="M12" s="44">
        <f>-(L5*N6-N5*L6)</f>
        <v>2.2588153569813574E-14</v>
      </c>
      <c r="N12" s="44">
        <f>L5*M6-M5*L6</f>
        <v>-895.20639999999992</v>
      </c>
      <c r="O12" s="47"/>
      <c r="P12" s="47"/>
      <c r="Q12" s="47"/>
      <c r="R12" s="48"/>
      <c r="T12" s="84">
        <f ca="1">$Q$40*EXP(-((A12-$Q$42)^2)/(2*$Q$41*$Q$41))</f>
        <v>0.82822109658907728</v>
      </c>
    </row>
    <row r="13" spans="1:20" x14ac:dyDescent="0.25">
      <c r="A13" s="80">
        <f t="shared" si="9"/>
        <v>-0.49999999999999978</v>
      </c>
      <c r="B13" s="81">
        <f t="shared" ca="1" si="0"/>
        <v>0.94649690258459551</v>
      </c>
      <c r="C13" s="81">
        <f t="shared" ca="1" si="1"/>
        <v>6.4000000000000001E-2</v>
      </c>
      <c r="D13" s="81">
        <f t="shared" si="2"/>
        <v>0.88249690258459546</v>
      </c>
      <c r="E13" s="17">
        <f t="shared" ca="1" si="3"/>
        <v>-5.4987580831938207E-2</v>
      </c>
      <c r="F13" s="17">
        <f t="shared" si="4"/>
        <v>0.24999999999999978</v>
      </c>
      <c r="G13" s="17">
        <f t="shared" si="5"/>
        <v>-0.12499999999999983</v>
      </c>
      <c r="H13" s="17">
        <f t="shared" si="6"/>
        <v>6.2499999999999889E-2</v>
      </c>
      <c r="I13" s="17">
        <f t="shared" ca="1" si="7"/>
        <v>2.749379041596909E-2</v>
      </c>
      <c r="J13" s="18">
        <f t="shared" ca="1" si="8"/>
        <v>-1.374689520798454E-2</v>
      </c>
      <c r="K13" s="3"/>
      <c r="L13" s="43">
        <f>-(M4*N6-N4*M6)</f>
        <v>2.2588153569813574E-14</v>
      </c>
      <c r="M13" s="44">
        <f>L4*N6-N4*L6</f>
        <v>714.19040000000007</v>
      </c>
      <c r="N13" s="44">
        <f>-(L4*M6-M4*L6)</f>
        <v>-1.3091749906379846E-13</v>
      </c>
      <c r="O13" s="47"/>
      <c r="P13" s="47"/>
      <c r="Q13" s="47"/>
      <c r="R13" s="48"/>
      <c r="T13" s="84">
        <f ca="1">$Q$40*EXP(-((A13-$Q$42)^2)/(2*$Q$41*$Q$41))</f>
        <v>0.87476441408668248</v>
      </c>
    </row>
    <row r="14" spans="1:20" x14ac:dyDescent="0.25">
      <c r="A14" s="80">
        <f t="shared" si="9"/>
        <v>-0.3999999999999998</v>
      </c>
      <c r="B14" s="81">
        <f t="shared" ca="1" si="0"/>
        <v>0.8321163463866359</v>
      </c>
      <c r="C14" s="81">
        <f t="shared" ca="1" si="1"/>
        <v>-9.0999999999999998E-2</v>
      </c>
      <c r="D14" s="81">
        <f t="shared" si="2"/>
        <v>0.92311634638663587</v>
      </c>
      <c r="E14" s="17">
        <f t="shared" ca="1" si="3"/>
        <v>-0.18378300853053262</v>
      </c>
      <c r="F14" s="17">
        <f t="shared" si="4"/>
        <v>0.15999999999999984</v>
      </c>
      <c r="G14" s="17">
        <f t="shared" si="5"/>
        <v>-6.3999999999999904E-2</v>
      </c>
      <c r="H14" s="17">
        <f t="shared" si="6"/>
        <v>2.5599999999999949E-2</v>
      </c>
      <c r="I14" s="17">
        <f t="shared" ca="1" si="7"/>
        <v>7.3513203412213013E-2</v>
      </c>
      <c r="J14" s="18">
        <f t="shared" ca="1" si="8"/>
        <v>-2.940528136488519E-2</v>
      </c>
      <c r="K14" s="3"/>
      <c r="L14" s="43">
        <f>M4*N5-N4*M5</f>
        <v>-895.20639999999992</v>
      </c>
      <c r="M14" s="44">
        <f>-(L4*N5-N4*L5)</f>
        <v>-1.3091749906379846E-13</v>
      </c>
      <c r="N14" s="44">
        <f>L4*M5-M4*L5</f>
        <v>987.3599999999999</v>
      </c>
      <c r="O14" s="47"/>
      <c r="P14" s="47"/>
      <c r="Q14" s="47"/>
      <c r="R14" s="48"/>
      <c r="T14" s="84">
        <f ca="1">$Q$40*EXP(-((A14-$Q$42)^2)/(2*$Q$41*$Q$41))</f>
        <v>0.91500112394533173</v>
      </c>
    </row>
    <row r="15" spans="1:20" x14ac:dyDescent="0.25">
      <c r="A15" s="80">
        <f t="shared" si="9"/>
        <v>-0.29999999999999982</v>
      </c>
      <c r="B15" s="81">
        <f t="shared" ca="1" si="0"/>
        <v>0.95499748183309996</v>
      </c>
      <c r="C15" s="81">
        <f t="shared" ca="1" si="1"/>
        <v>-1E-3</v>
      </c>
      <c r="D15" s="81">
        <f t="shared" si="2"/>
        <v>0.95599748183309996</v>
      </c>
      <c r="E15" s="17">
        <f t="shared" ca="1" si="3"/>
        <v>-4.6046575328862333E-2</v>
      </c>
      <c r="F15" s="17">
        <f t="shared" si="4"/>
        <v>8.99999999999999E-2</v>
      </c>
      <c r="G15" s="17">
        <f t="shared" si="5"/>
        <v>-2.6999999999999955E-2</v>
      </c>
      <c r="H15" s="17">
        <f t="shared" si="6"/>
        <v>8.0999999999999822E-3</v>
      </c>
      <c r="I15" s="17">
        <f t="shared" ca="1" si="7"/>
        <v>1.3813972598658691E-2</v>
      </c>
      <c r="J15" s="18">
        <f ca="1">E15*F15</f>
        <v>-4.1441917795976054E-3</v>
      </c>
      <c r="K15" s="3"/>
      <c r="L15" s="40"/>
      <c r="M15" s="47"/>
      <c r="N15" s="47"/>
      <c r="O15" s="47"/>
      <c r="P15" s="47"/>
      <c r="Q15" s="47"/>
      <c r="R15" s="48"/>
      <c r="T15" s="84">
        <f ca="1">$Q$40*EXP(-((A15-$Q$42)^2)/(2*$Q$41*$Q$41))</f>
        <v>0.94784614739951634</v>
      </c>
    </row>
    <row r="16" spans="1:20" x14ac:dyDescent="0.25">
      <c r="A16" s="80">
        <f t="shared" si="9"/>
        <v>-0.19999999999999982</v>
      </c>
      <c r="B16" s="81">
        <f t="shared" ca="1" si="0"/>
        <v>0.88719867330675539</v>
      </c>
      <c r="C16" s="81">
        <f t="shared" ca="1" si="1"/>
        <v>-9.2999999999999999E-2</v>
      </c>
      <c r="D16" s="81">
        <f t="shared" si="2"/>
        <v>0.98019867330675536</v>
      </c>
      <c r="E16" s="17">
        <f t="shared" ca="1" si="3"/>
        <v>-0.11968633831820312</v>
      </c>
      <c r="F16" s="17">
        <f t="shared" si="4"/>
        <v>3.9999999999999925E-2</v>
      </c>
      <c r="G16" s="17">
        <f t="shared" si="5"/>
        <v>-7.9999999999999776E-3</v>
      </c>
      <c r="H16" s="17">
        <f t="shared" si="6"/>
        <v>1.599999999999994E-3</v>
      </c>
      <c r="I16" s="17">
        <f t="shared" ca="1" si="7"/>
        <v>2.3937267663640602E-2</v>
      </c>
      <c r="J16" s="18">
        <f t="shared" ca="1" si="8"/>
        <v>-4.7874535327281156E-3</v>
      </c>
      <c r="K16" s="3"/>
      <c r="L16" s="40"/>
      <c r="M16" s="41" t="s">
        <v>21</v>
      </c>
      <c r="N16" s="47"/>
      <c r="O16" s="47"/>
      <c r="P16" s="47"/>
      <c r="Q16" s="47"/>
      <c r="R16" s="48"/>
      <c r="T16" s="84">
        <f ca="1">$Q$40*EXP(-((A16-$Q$42)^2)/(2*$Q$41*$Q$41))</f>
        <v>0.97238840678947625</v>
      </c>
    </row>
    <row r="17" spans="1:20" x14ac:dyDescent="0.25">
      <c r="A17" s="80">
        <f t="shared" si="9"/>
        <v>-9.9999999999999811E-2</v>
      </c>
      <c r="B17" s="81">
        <f t="shared" ca="1" si="0"/>
        <v>1.0370124791926822</v>
      </c>
      <c r="C17" s="81">
        <f t="shared" ca="1" si="1"/>
        <v>4.2000000000000003E-2</v>
      </c>
      <c r="D17" s="81">
        <f t="shared" si="2"/>
        <v>0.99501247919268232</v>
      </c>
      <c r="E17" s="17">
        <f t="shared" ca="1" si="3"/>
        <v>3.6343963111995808E-2</v>
      </c>
      <c r="F17" s="17">
        <f t="shared" si="4"/>
        <v>9.999999999999962E-3</v>
      </c>
      <c r="G17" s="17">
        <f t="shared" si="5"/>
        <v>-9.9999999999999438E-4</v>
      </c>
      <c r="H17" s="17">
        <f t="shared" si="6"/>
        <v>9.9999999999999246E-5</v>
      </c>
      <c r="I17" s="17">
        <f t="shared" ca="1" si="7"/>
        <v>-3.6343963111995742E-3</v>
      </c>
      <c r="J17" s="18">
        <f t="shared" ca="1" si="8"/>
        <v>3.6343963111995671E-4</v>
      </c>
      <c r="K17" s="3"/>
      <c r="L17" s="43">
        <f>L12</f>
        <v>1459.1864319999997</v>
      </c>
      <c r="M17" s="44">
        <f>L13</f>
        <v>2.2588153569813574E-14</v>
      </c>
      <c r="N17" s="44">
        <f>L14</f>
        <v>-895.20639999999992</v>
      </c>
      <c r="O17" s="47"/>
      <c r="P17" s="47"/>
      <c r="Q17" s="47"/>
      <c r="R17" s="48"/>
      <c r="T17" s="84">
        <f ca="1">$Q$40*EXP(-((A17-$Q$42)^2)/(2*$Q$41*$Q$41))</f>
        <v>0.98793278298057796</v>
      </c>
    </row>
    <row r="18" spans="1:20" x14ac:dyDescent="0.25">
      <c r="A18" s="80">
        <v>0</v>
      </c>
      <c r="B18" s="81">
        <f t="shared" ca="1" si="0"/>
        <v>1.0900000000000001</v>
      </c>
      <c r="C18" s="81">
        <f t="shared" ca="1" si="1"/>
        <v>0.09</v>
      </c>
      <c r="D18" s="81">
        <f t="shared" si="2"/>
        <v>1</v>
      </c>
      <c r="E18" s="17">
        <f t="shared" ca="1" si="3"/>
        <v>8.6177696241052412E-2</v>
      </c>
      <c r="F18" s="17">
        <f t="shared" si="4"/>
        <v>0</v>
      </c>
      <c r="G18" s="17">
        <f t="shared" si="5"/>
        <v>0</v>
      </c>
      <c r="H18" s="17">
        <f t="shared" si="6"/>
        <v>0</v>
      </c>
      <c r="I18" s="17">
        <f t="shared" ca="1" si="7"/>
        <v>0</v>
      </c>
      <c r="J18" s="18">
        <f t="shared" ca="1" si="8"/>
        <v>0</v>
      </c>
      <c r="K18" s="3"/>
      <c r="L18" s="43">
        <f>M12</f>
        <v>2.2588153569813574E-14</v>
      </c>
      <c r="M18" s="44">
        <f>M13</f>
        <v>714.19040000000007</v>
      </c>
      <c r="N18" s="44">
        <f>M14</f>
        <v>-1.3091749906379846E-13</v>
      </c>
      <c r="O18" s="47"/>
      <c r="P18" s="47"/>
      <c r="Q18" s="47"/>
      <c r="R18" s="48"/>
      <c r="T18" s="84">
        <f ca="1">$Q$40*EXP(-((A18-$Q$42)^2)/(2*$Q$41*$Q$41))</f>
        <v>0.9940328188200579</v>
      </c>
    </row>
    <row r="19" spans="1:20" x14ac:dyDescent="0.25">
      <c r="A19" s="80">
        <f t="shared" si="9"/>
        <v>0.1</v>
      </c>
      <c r="B19" s="81">
        <f t="shared" ca="1" si="0"/>
        <v>0.89801247919268234</v>
      </c>
      <c r="C19" s="81">
        <f t="shared" ca="1" si="1"/>
        <v>-9.7000000000000003E-2</v>
      </c>
      <c r="D19" s="81">
        <f t="shared" si="2"/>
        <v>0.99501247919268232</v>
      </c>
      <c r="E19" s="17">
        <f t="shared" ca="1" si="3"/>
        <v>-0.10757131412540108</v>
      </c>
      <c r="F19" s="17">
        <f t="shared" si="4"/>
        <v>1.0000000000000002E-2</v>
      </c>
      <c r="G19" s="17">
        <f t="shared" si="5"/>
        <v>1.0000000000000002E-3</v>
      </c>
      <c r="H19" s="17">
        <f t="shared" si="6"/>
        <v>1.0000000000000005E-4</v>
      </c>
      <c r="I19" s="17">
        <f t="shared" ca="1" si="7"/>
        <v>-1.0757131412540109E-2</v>
      </c>
      <c r="J19" s="18">
        <f t="shared" ca="1" si="8"/>
        <v>-1.0757131412540109E-3</v>
      </c>
      <c r="K19" s="3"/>
      <c r="L19" s="43">
        <f>N12</f>
        <v>-895.20639999999992</v>
      </c>
      <c r="M19" s="44">
        <f>N13</f>
        <v>-1.3091749906379846E-13</v>
      </c>
      <c r="N19" s="44">
        <f>N14</f>
        <v>987.3599999999999</v>
      </c>
      <c r="O19" s="47"/>
      <c r="P19" s="47"/>
      <c r="Q19" s="47"/>
      <c r="R19" s="48"/>
      <c r="T19" s="84">
        <f ca="1">$Q$40*EXP(-((A19-$Q$42)^2)/(2*$Q$41*$Q$41))</f>
        <v>0.99051202179872433</v>
      </c>
    </row>
    <row r="20" spans="1:20" x14ac:dyDescent="0.25">
      <c r="A20" s="80">
        <f t="shared" si="9"/>
        <v>0.2</v>
      </c>
      <c r="B20" s="81">
        <f t="shared" ca="1" si="0"/>
        <v>1.0291986733067553</v>
      </c>
      <c r="C20" s="81">
        <f t="shared" ca="1" si="1"/>
        <v>4.9000000000000002E-2</v>
      </c>
      <c r="D20" s="81">
        <f t="shared" si="2"/>
        <v>0.98019867330675525</v>
      </c>
      <c r="E20" s="17">
        <f t="shared" ca="1" si="3"/>
        <v>2.87805123717212E-2</v>
      </c>
      <c r="F20" s="17">
        <f t="shared" si="4"/>
        <v>4.0000000000000008E-2</v>
      </c>
      <c r="G20" s="17">
        <f t="shared" si="5"/>
        <v>8.0000000000000019E-3</v>
      </c>
      <c r="H20" s="17">
        <f t="shared" si="6"/>
        <v>1.6000000000000007E-3</v>
      </c>
      <c r="I20" s="17">
        <f t="shared" ca="1" si="7"/>
        <v>5.75610247434424E-3</v>
      </c>
      <c r="J20" s="18">
        <f t="shared" ca="1" si="8"/>
        <v>1.1512204948688483E-3</v>
      </c>
      <c r="K20" s="3"/>
      <c r="L20" s="40"/>
      <c r="M20" s="47"/>
      <c r="N20" s="47"/>
      <c r="O20" s="47"/>
      <c r="P20" s="47"/>
      <c r="Q20" s="47"/>
      <c r="R20" s="48"/>
      <c r="T20" s="84">
        <f ca="1">$Q$40*EXP(-((A20-$Q$42)^2)/(2*$Q$41*$Q$41))</f>
        <v>0.97747234745627498</v>
      </c>
    </row>
    <row r="21" spans="1:20" x14ac:dyDescent="0.25">
      <c r="A21" s="80">
        <f t="shared" si="9"/>
        <v>0.30000000000000004</v>
      </c>
      <c r="B21" s="81">
        <f t="shared" ca="1" si="0"/>
        <v>1.0259974818330999</v>
      </c>
      <c r="C21" s="81">
        <f t="shared" ca="1" si="1"/>
        <v>7.0000000000000007E-2</v>
      </c>
      <c r="D21" s="81">
        <f t="shared" si="2"/>
        <v>0.95599748183309985</v>
      </c>
      <c r="E21" s="17">
        <f t="shared" ca="1" si="3"/>
        <v>2.566529239186207E-2</v>
      </c>
      <c r="F21" s="17">
        <f t="shared" si="4"/>
        <v>9.0000000000000024E-2</v>
      </c>
      <c r="G21" s="17">
        <f t="shared" si="5"/>
        <v>2.700000000000001E-2</v>
      </c>
      <c r="H21" s="17">
        <f t="shared" si="6"/>
        <v>8.1000000000000048E-3</v>
      </c>
      <c r="I21" s="17">
        <f t="shared" ca="1" si="7"/>
        <v>7.6995877175586218E-3</v>
      </c>
      <c r="J21" s="18">
        <f t="shared" ca="1" si="8"/>
        <v>2.309876315267587E-3</v>
      </c>
      <c r="K21" s="3"/>
      <c r="L21" s="40"/>
      <c r="M21" s="47" t="s">
        <v>22</v>
      </c>
      <c r="N21" s="47"/>
      <c r="O21" s="47"/>
      <c r="P21" s="45"/>
      <c r="Q21" s="47" t="s">
        <v>23</v>
      </c>
      <c r="R21" s="48"/>
      <c r="T21" s="84">
        <f ca="1">$Q$40*EXP(-((A21-$Q$42)^2)/(2*$Q$41*$Q$41))</f>
        <v>0.95528929448576694</v>
      </c>
    </row>
    <row r="22" spans="1:20" x14ac:dyDescent="0.25">
      <c r="A22" s="80">
        <f t="shared" si="9"/>
        <v>0.4</v>
      </c>
      <c r="B22" s="81">
        <f t="shared" ca="1" si="0"/>
        <v>0.90011634638663574</v>
      </c>
      <c r="C22" s="81">
        <f t="shared" ca="1" si="1"/>
        <v>-2.3E-2</v>
      </c>
      <c r="D22" s="81">
        <f t="shared" si="2"/>
        <v>0.92311634638663576</v>
      </c>
      <c r="E22" s="17">
        <f t="shared" ca="1" si="3"/>
        <v>-0.10523125025003054</v>
      </c>
      <c r="F22" s="17">
        <f t="shared" si="4"/>
        <v>0.16000000000000003</v>
      </c>
      <c r="G22" s="17">
        <f t="shared" si="5"/>
        <v>6.4000000000000015E-2</v>
      </c>
      <c r="H22" s="17">
        <f t="shared" si="6"/>
        <v>2.5600000000000012E-2</v>
      </c>
      <c r="I22" s="17">
        <f t="shared" ca="1" si="7"/>
        <v>-4.2092500100012219E-2</v>
      </c>
      <c r="J22" s="18">
        <f t="shared" ca="1" si="8"/>
        <v>-1.683700004000489E-2</v>
      </c>
      <c r="K22" s="3"/>
      <c r="L22" s="43">
        <f>L17/M8</f>
        <v>6.8286552157519886E-2</v>
      </c>
      <c r="M22" s="44">
        <f>M17/M8</f>
        <v>1.0570733753143505E-18</v>
      </c>
      <c r="N22" s="44">
        <f>N17/M8</f>
        <v>-4.1893590280687051E-2</v>
      </c>
      <c r="O22" s="47"/>
      <c r="P22" s="44">
        <f>L22*L4+M22*L5+N22*L6</f>
        <v>0.99999999999999956</v>
      </c>
      <c r="Q22" s="44">
        <f>L22*M4+M22*M5+N22*M6</f>
        <v>0</v>
      </c>
      <c r="R22" s="46">
        <f>L22*N4+M22*N5+N22*N6</f>
        <v>0</v>
      </c>
      <c r="T22" s="84">
        <f ca="1">$Q$40*EXP(-((A22-$Q$42)^2)/(2*$Q$41*$Q$41))</f>
        <v>0.9245939408281858</v>
      </c>
    </row>
    <row r="23" spans="1:20" x14ac:dyDescent="0.25">
      <c r="A23" s="80">
        <f t="shared" si="9"/>
        <v>0.5</v>
      </c>
      <c r="B23" s="81">
        <f t="shared" ca="1" si="0"/>
        <v>0.87749690258459545</v>
      </c>
      <c r="C23" s="81">
        <f t="shared" ca="1" si="1"/>
        <v>-5.0000000000000001E-3</v>
      </c>
      <c r="D23" s="81">
        <f t="shared" si="2"/>
        <v>0.88249690258459546</v>
      </c>
      <c r="E23" s="17">
        <f t="shared" ca="1" si="3"/>
        <v>-0.13068185346647085</v>
      </c>
      <c r="F23" s="17">
        <f t="shared" si="4"/>
        <v>0.25</v>
      </c>
      <c r="G23" s="17">
        <f t="shared" si="5"/>
        <v>0.125</v>
      </c>
      <c r="H23" s="17">
        <f t="shared" si="6"/>
        <v>6.25E-2</v>
      </c>
      <c r="I23" s="17">
        <f t="shared" ca="1" si="7"/>
        <v>-6.5340926733235424E-2</v>
      </c>
      <c r="J23" s="18">
        <f t="shared" ca="1" si="8"/>
        <v>-3.2670463366617712E-2</v>
      </c>
      <c r="K23" s="3"/>
      <c r="L23" s="43">
        <f>L18/M8</f>
        <v>1.0570733753143505E-18</v>
      </c>
      <c r="M23" s="44">
        <f>M18/M8</f>
        <v>3.342245989304813E-2</v>
      </c>
      <c r="N23" s="44">
        <f>N18/M8</f>
        <v>-6.1266363448150101E-18</v>
      </c>
      <c r="O23" s="47"/>
      <c r="P23" s="44">
        <f>L23*L4+M23*L5+N23*L6</f>
        <v>0</v>
      </c>
      <c r="Q23" s="44">
        <f>M22*L5+M23*M5+N23*N5</f>
        <v>1</v>
      </c>
      <c r="R23" s="46">
        <f>L23*N4+M23*N5+N23*N6</f>
        <v>0</v>
      </c>
      <c r="T23" s="84">
        <f ca="1">$Q$40*EXP(-((A23-$Q$42)^2)/(2*$Q$41*$Q$41))</f>
        <v>0.88624312005127981</v>
      </c>
    </row>
    <row r="24" spans="1:20" x14ac:dyDescent="0.25">
      <c r="A24" s="80">
        <f t="shared" si="9"/>
        <v>0.6</v>
      </c>
      <c r="B24" s="81">
        <f t="shared" ca="1" si="0"/>
        <v>0.74327021141127203</v>
      </c>
      <c r="C24" s="81">
        <f t="shared" ca="1" si="1"/>
        <v>-9.1999999999999998E-2</v>
      </c>
      <c r="D24" s="81">
        <f t="shared" si="2"/>
        <v>0.835270211411272</v>
      </c>
      <c r="E24" s="17">
        <f t="shared" ca="1" si="3"/>
        <v>-0.29669562418570644</v>
      </c>
      <c r="F24" s="17">
        <f t="shared" si="4"/>
        <v>0.36</v>
      </c>
      <c r="G24" s="17">
        <f t="shared" si="5"/>
        <v>0.216</v>
      </c>
      <c r="H24" s="17">
        <f t="shared" si="6"/>
        <v>0.12959999999999999</v>
      </c>
      <c r="I24" s="17">
        <f t="shared" ca="1" si="7"/>
        <v>-0.17801737451142385</v>
      </c>
      <c r="J24" s="18">
        <f t="shared" ca="1" si="8"/>
        <v>-0.10681042470685431</v>
      </c>
      <c r="K24" s="3"/>
      <c r="L24" s="43">
        <f>L19/M8</f>
        <v>-4.1893590280687051E-2</v>
      </c>
      <c r="M24" s="44">
        <f>M19/M8</f>
        <v>-6.1266363448150101E-18</v>
      </c>
      <c r="N24" s="44">
        <f>N19/M8</f>
        <v>4.6206165750757776E-2</v>
      </c>
      <c r="O24" s="47"/>
      <c r="P24" s="44">
        <f>L24*L4+M24*L5+N24*L6</f>
        <v>0</v>
      </c>
      <c r="Q24" s="44">
        <f>L24*M4+M24*M5+N24*M6</f>
        <v>0</v>
      </c>
      <c r="R24" s="46">
        <f>L24*N4+M24*N5+N24*N6</f>
        <v>0.99999999999999956</v>
      </c>
      <c r="T24" s="84">
        <f ca="1">$Q$40*EXP(-((A24-$Q$42)^2)/(2*$Q$41*$Q$41))</f>
        <v>0.84127970469703872</v>
      </c>
    </row>
    <row r="25" spans="1:20" x14ac:dyDescent="0.25">
      <c r="A25" s="80">
        <f t="shared" si="9"/>
        <v>0.7</v>
      </c>
      <c r="B25" s="81">
        <f t="shared" ca="1" si="0"/>
        <v>0.74470453824186811</v>
      </c>
      <c r="C25" s="81">
        <f t="shared" ca="1" si="1"/>
        <v>-3.7999999999999999E-2</v>
      </c>
      <c r="D25" s="81">
        <f t="shared" si="2"/>
        <v>0.78270453824186814</v>
      </c>
      <c r="E25" s="17">
        <f t="shared" ca="1" si="3"/>
        <v>-0.2947677322303015</v>
      </c>
      <c r="F25" s="17">
        <f t="shared" si="4"/>
        <v>0.48999999999999994</v>
      </c>
      <c r="G25" s="17">
        <f t="shared" si="5"/>
        <v>0.34299999999999992</v>
      </c>
      <c r="H25" s="17">
        <f t="shared" si="6"/>
        <v>0.24009999999999992</v>
      </c>
      <c r="I25" s="17">
        <f t="shared" ca="1" si="7"/>
        <v>-0.20633741256121105</v>
      </c>
      <c r="J25" s="18">
        <f t="shared" ca="1" si="8"/>
        <v>-0.14443618879284773</v>
      </c>
      <c r="K25" s="3"/>
      <c r="L25" s="40"/>
      <c r="M25" s="47"/>
      <c r="N25" s="47"/>
      <c r="O25" s="47"/>
      <c r="P25" s="47"/>
      <c r="Q25" s="47"/>
      <c r="R25" s="48"/>
      <c r="T25" s="84">
        <f ca="1">$Q$40*EXP(-((A25-$Q$42)^2)/(2*$Q$41*$Q$41))</f>
        <v>0.7908855644750018</v>
      </c>
    </row>
    <row r="26" spans="1:20" x14ac:dyDescent="0.25">
      <c r="A26" s="80">
        <f t="shared" si="9"/>
        <v>0.79999999999999993</v>
      </c>
      <c r="B26" s="81">
        <f t="shared" ca="1" si="0"/>
        <v>0.70814903707369092</v>
      </c>
      <c r="C26" s="81">
        <f t="shared" ca="1" si="1"/>
        <v>-1.7999999999999999E-2</v>
      </c>
      <c r="D26" s="81">
        <f t="shared" si="2"/>
        <v>0.72614903707369094</v>
      </c>
      <c r="E26" s="17">
        <f t="shared" ca="1" si="3"/>
        <v>-0.34510070309997598</v>
      </c>
      <c r="F26" s="17">
        <f t="shared" si="4"/>
        <v>0.6399999999999999</v>
      </c>
      <c r="G26" s="17">
        <f t="shared" si="5"/>
        <v>0.5119999999999999</v>
      </c>
      <c r="H26" s="17">
        <f t="shared" si="6"/>
        <v>0.40959999999999985</v>
      </c>
      <c r="I26" s="17">
        <f t="shared" ca="1" si="7"/>
        <v>-0.27608056247998075</v>
      </c>
      <c r="J26" s="18">
        <f t="shared" ca="1" si="8"/>
        <v>-0.22086444998398461</v>
      </c>
      <c r="K26" s="3"/>
      <c r="L26" s="40"/>
      <c r="M26" s="47" t="s">
        <v>22</v>
      </c>
      <c r="N26" s="47"/>
      <c r="O26" s="47"/>
      <c r="P26" s="47"/>
      <c r="Q26" s="47"/>
      <c r="R26" s="48"/>
      <c r="T26" s="84">
        <f ca="1">$Q$40*EXP(-((A26-$Q$42)^2)/(2*$Q$41*$Q$41))</f>
        <v>0.73633015569907512</v>
      </c>
    </row>
    <row r="27" spans="1:20" x14ac:dyDescent="0.25">
      <c r="A27" s="80">
        <f t="shared" si="9"/>
        <v>0.89999999999999991</v>
      </c>
      <c r="B27" s="81">
        <f t="shared" ca="1" si="0"/>
        <v>0.65097681085847448</v>
      </c>
      <c r="C27" s="81">
        <f t="shared" ca="1" si="1"/>
        <v>-1.6E-2</v>
      </c>
      <c r="D27" s="81">
        <f t="shared" si="2"/>
        <v>0.66697681085847449</v>
      </c>
      <c r="E27" s="17">
        <f t="shared" ca="1" si="3"/>
        <v>-0.42928125820911811</v>
      </c>
      <c r="F27" s="17">
        <f t="shared" si="4"/>
        <v>0.80999999999999983</v>
      </c>
      <c r="G27" s="17">
        <f t="shared" si="5"/>
        <v>0.72899999999999976</v>
      </c>
      <c r="H27" s="17">
        <f t="shared" si="6"/>
        <v>0.65609999999999968</v>
      </c>
      <c r="I27" s="17">
        <f t="shared" ca="1" si="7"/>
        <v>-0.38635313238820629</v>
      </c>
      <c r="J27" s="18">
        <f t="shared" ca="1" si="8"/>
        <v>-0.3477178191493856</v>
      </c>
      <c r="K27" s="3"/>
      <c r="L27" s="43">
        <f>L22</f>
        <v>6.8286552157519886E-2</v>
      </c>
      <c r="M27" s="44">
        <f t="shared" ref="M27:N27" si="10">M22</f>
        <v>1.0570733753143505E-18</v>
      </c>
      <c r="N27" s="44">
        <f t="shared" si="10"/>
        <v>-4.1893590280687051E-2</v>
      </c>
      <c r="O27" s="47"/>
      <c r="P27" s="44">
        <f ca="1">R4</f>
        <v>-14.714363053375157</v>
      </c>
      <c r="Q27" s="41"/>
      <c r="R27" s="49">
        <f ca="1">L27*P27+M27*P28+N27*P29</f>
        <v>-5.9850559490222111E-3</v>
      </c>
      <c r="T27" s="84">
        <f ca="1">$Q$40*EXP(-((A27-$Q$42)^2)/(2*$Q$41*$Q$41))</f>
        <v>0.67891784918650966</v>
      </c>
    </row>
    <row r="28" spans="1:20" x14ac:dyDescent="0.25">
      <c r="A28" s="80">
        <f t="shared" si="9"/>
        <v>0.99999999999999989</v>
      </c>
      <c r="B28" s="81">
        <f t="shared" ca="1" si="0"/>
        <v>0.66053065971263358</v>
      </c>
      <c r="C28" s="81">
        <f t="shared" ca="1" si="1"/>
        <v>5.3999999999999999E-2</v>
      </c>
      <c r="D28" s="81">
        <f t="shared" si="2"/>
        <v>0.60653065971263354</v>
      </c>
      <c r="E28" s="17">
        <f t="shared" ca="1" si="3"/>
        <v>-0.41471173715289883</v>
      </c>
      <c r="F28" s="17">
        <f t="shared" si="4"/>
        <v>0.99999999999999978</v>
      </c>
      <c r="G28" s="17">
        <f t="shared" si="5"/>
        <v>0.99999999999999967</v>
      </c>
      <c r="H28" s="17">
        <f t="shared" si="6"/>
        <v>0.99999999999999956</v>
      </c>
      <c r="I28" s="17">
        <f t="shared" ca="1" si="7"/>
        <v>-0.41471173715289877</v>
      </c>
      <c r="J28" s="18">
        <f t="shared" ca="1" si="8"/>
        <v>-0.41471173715289872</v>
      </c>
      <c r="K28" s="3"/>
      <c r="L28" s="43">
        <f t="shared" ref="L28:N28" si="11">L23</f>
        <v>1.0570733753143505E-18</v>
      </c>
      <c r="M28" s="44">
        <f t="shared" si="11"/>
        <v>3.342245989304813E-2</v>
      </c>
      <c r="N28" s="44">
        <f t="shared" si="11"/>
        <v>-6.1266363448150101E-18</v>
      </c>
      <c r="O28" s="41" t="s">
        <v>1</v>
      </c>
      <c r="P28" s="44">
        <f ca="1">R5</f>
        <v>0.39005823650603944</v>
      </c>
      <c r="Q28" s="41" t="s">
        <v>18</v>
      </c>
      <c r="R28" s="49">
        <f ca="1">L28*P27+M28*P28+N28*P29</f>
        <v>1.3036705765576315E-2</v>
      </c>
      <c r="T28" s="84">
        <f ca="1">$Q$40*EXP(-((A28-$Q$42)^2)/(2*$Q$41*$Q$41))</f>
        <v>0.6199370151712208</v>
      </c>
    </row>
    <row r="29" spans="1:20" x14ac:dyDescent="0.25">
      <c r="A29" s="80">
        <f t="shared" si="9"/>
        <v>1.0999999999999999</v>
      </c>
      <c r="B29" s="81">
        <f t="shared" ca="1" si="0"/>
        <v>0.60107442663970956</v>
      </c>
      <c r="C29" s="81">
        <f t="shared" ca="1" si="1"/>
        <v>5.5E-2</v>
      </c>
      <c r="D29" s="81">
        <f t="shared" si="2"/>
        <v>0.54607442663970951</v>
      </c>
      <c r="E29" s="17">
        <f t="shared" ca="1" si="3"/>
        <v>-0.5090365141113774</v>
      </c>
      <c r="F29" s="17">
        <f t="shared" si="4"/>
        <v>1.2099999999999997</v>
      </c>
      <c r="G29" s="17">
        <f t="shared" si="5"/>
        <v>1.3309999999999995</v>
      </c>
      <c r="H29" s="17">
        <f t="shared" si="6"/>
        <v>1.4640999999999993</v>
      </c>
      <c r="I29" s="17">
        <f t="shared" ca="1" si="7"/>
        <v>-0.55994016552251502</v>
      </c>
      <c r="J29" s="18">
        <f t="shared" ca="1" si="8"/>
        <v>-0.61593418207476658</v>
      </c>
      <c r="K29" s="3"/>
      <c r="L29" s="43">
        <f t="shared" ref="L29:N29" si="12">L24</f>
        <v>-4.1893590280687051E-2</v>
      </c>
      <c r="M29" s="44">
        <f t="shared" si="12"/>
        <v>-6.1266363448150101E-18</v>
      </c>
      <c r="N29" s="44">
        <f t="shared" si="12"/>
        <v>4.6206165750757776E-2</v>
      </c>
      <c r="O29" s="47"/>
      <c r="P29" s="44">
        <f ca="1">R6</f>
        <v>-23.84154849149834</v>
      </c>
      <c r="Q29" s="41"/>
      <c r="R29" s="49">
        <f ca="1">L29*P27+M29*P28+N29*P29</f>
        <v>-0.48518904435352328</v>
      </c>
      <c r="T29" s="84">
        <f ca="1">$Q$40*EXP(-((A29-$Q$42)^2)/(2*$Q$41*$Q$41))</f>
        <v>0.56061357620157948</v>
      </c>
    </row>
    <row r="30" spans="1:20" x14ac:dyDescent="0.25">
      <c r="A30" s="80">
        <f t="shared" si="9"/>
        <v>1.2</v>
      </c>
      <c r="B30" s="81">
        <f t="shared" ca="1" si="0"/>
        <v>0.49275225595997169</v>
      </c>
      <c r="C30" s="81">
        <f t="shared" ca="1" si="1"/>
        <v>6.0000000000000001E-3</v>
      </c>
      <c r="D30" s="81">
        <f t="shared" si="2"/>
        <v>0.48675225595997168</v>
      </c>
      <c r="E30" s="17">
        <f t="shared" ca="1" si="3"/>
        <v>-0.70774875465441667</v>
      </c>
      <c r="F30" s="17">
        <f t="shared" si="4"/>
        <v>1.44</v>
      </c>
      <c r="G30" s="17">
        <f t="shared" si="5"/>
        <v>1.728</v>
      </c>
      <c r="H30" s="17">
        <f t="shared" si="6"/>
        <v>2.0735999999999999</v>
      </c>
      <c r="I30" s="17">
        <f t="shared" ca="1" si="7"/>
        <v>-0.84929850558529996</v>
      </c>
      <c r="J30" s="18">
        <f t="shared" ca="1" si="8"/>
        <v>-1.0191582067023599</v>
      </c>
      <c r="K30" s="3"/>
      <c r="L30" s="40"/>
      <c r="M30" s="47"/>
      <c r="N30" s="47"/>
      <c r="O30" s="47"/>
      <c r="P30" s="47"/>
      <c r="Q30" s="47"/>
      <c r="R30" s="48"/>
      <c r="T30" s="84">
        <f ca="1">$Q$40*EXP(-((A30-$Q$42)^2)/(2*$Q$41*$Q$41))</f>
        <v>0.50207125210444137</v>
      </c>
    </row>
    <row r="31" spans="1:20" x14ac:dyDescent="0.25">
      <c r="A31" s="80">
        <f t="shared" si="9"/>
        <v>1.3</v>
      </c>
      <c r="B31" s="81">
        <f t="shared" ca="1" si="0"/>
        <v>0.35155735821073908</v>
      </c>
      <c r="C31" s="81">
        <f t="shared" ca="1" si="1"/>
        <v>-7.8E-2</v>
      </c>
      <c r="D31" s="81">
        <f t="shared" si="2"/>
        <v>0.42955735821073909</v>
      </c>
      <c r="E31" s="17">
        <f t="shared" ca="1" si="3"/>
        <v>-1.0453823997901492</v>
      </c>
      <c r="F31" s="17">
        <f t="shared" si="4"/>
        <v>1.6900000000000002</v>
      </c>
      <c r="G31" s="17">
        <f t="shared" si="5"/>
        <v>2.1970000000000005</v>
      </c>
      <c r="H31" s="17">
        <f t="shared" si="6"/>
        <v>2.8561000000000005</v>
      </c>
      <c r="I31" s="17">
        <f t="shared" ca="1" si="7"/>
        <v>-1.3589971197271942</v>
      </c>
      <c r="J31" s="18">
        <f t="shared" ca="1" si="8"/>
        <v>-1.7666962556453525</v>
      </c>
      <c r="K31" s="3"/>
      <c r="L31" s="43" t="s">
        <v>6</v>
      </c>
      <c r="M31" s="41"/>
      <c r="N31" s="44">
        <f ca="1">R27</f>
        <v>-5.9850559490222111E-3</v>
      </c>
      <c r="O31" s="47"/>
      <c r="P31" s="47"/>
      <c r="Q31" s="47"/>
      <c r="R31" s="48"/>
      <c r="T31" s="84">
        <f ca="1">$Q$40*EXP(-((A31-$Q$42)^2)/(2*$Q$41*$Q$41))</f>
        <v>0.44530010831623362</v>
      </c>
    </row>
    <row r="32" spans="1:20" x14ac:dyDescent="0.25">
      <c r="A32" s="80">
        <f t="shared" si="9"/>
        <v>1.4000000000000001</v>
      </c>
      <c r="B32" s="81">
        <f t="shared" ca="1" si="0"/>
        <v>0.44331109885139947</v>
      </c>
      <c r="C32" s="81">
        <f t="shared" ca="1" si="1"/>
        <v>6.8000000000000005E-2</v>
      </c>
      <c r="D32" s="81">
        <f t="shared" si="2"/>
        <v>0.37531109885139946</v>
      </c>
      <c r="E32" s="17">
        <f t="shared" ca="1" si="3"/>
        <v>-0.8134835006589175</v>
      </c>
      <c r="F32" s="17">
        <f t="shared" si="4"/>
        <v>1.9600000000000004</v>
      </c>
      <c r="G32" s="17">
        <f t="shared" si="5"/>
        <v>2.7440000000000007</v>
      </c>
      <c r="H32" s="17">
        <f t="shared" si="6"/>
        <v>3.8416000000000015</v>
      </c>
      <c r="I32" s="17">
        <f t="shared" ca="1" si="7"/>
        <v>-1.1388769009224846</v>
      </c>
      <c r="J32" s="18">
        <f t="shared" ca="1" si="8"/>
        <v>-1.5944276612914787</v>
      </c>
      <c r="K32" s="3"/>
      <c r="L32" s="43" t="s">
        <v>5</v>
      </c>
      <c r="M32" s="41" t="s">
        <v>18</v>
      </c>
      <c r="N32" s="44">
        <f t="shared" ref="N32:N33" ca="1" si="13">R28</f>
        <v>1.3036705765576315E-2</v>
      </c>
      <c r="O32" s="47"/>
      <c r="P32" s="47"/>
      <c r="Q32" s="47"/>
      <c r="R32" s="48"/>
      <c r="T32" s="84">
        <f ca="1">$Q$40*EXP(-((A32-$Q$42)^2)/(2*$Q$41*$Q$41))</f>
        <v>0.39113434103035555</v>
      </c>
    </row>
    <row r="33" spans="1:29" ht="15.75" thickBot="1" x14ac:dyDescent="0.3">
      <c r="A33" s="80">
        <f t="shared" si="9"/>
        <v>1.5000000000000002</v>
      </c>
      <c r="B33" s="81">
        <f t="shared" ca="1" si="0"/>
        <v>0.33465246735834958</v>
      </c>
      <c r="C33" s="81">
        <f t="shared" ca="1" si="1"/>
        <v>0.01</v>
      </c>
      <c r="D33" s="81">
        <f t="shared" si="2"/>
        <v>0.32465246735834957</v>
      </c>
      <c r="E33" s="17">
        <f t="shared" ca="1" si="3"/>
        <v>-1.0946626965107771</v>
      </c>
      <c r="F33" s="17">
        <f t="shared" si="4"/>
        <v>2.2500000000000009</v>
      </c>
      <c r="G33" s="17">
        <f t="shared" si="5"/>
        <v>3.3750000000000018</v>
      </c>
      <c r="H33" s="17">
        <f t="shared" si="6"/>
        <v>5.0625000000000036</v>
      </c>
      <c r="I33" s="17">
        <f t="shared" ca="1" si="7"/>
        <v>-1.6419940447661658</v>
      </c>
      <c r="J33" s="18">
        <f t="shared" ca="1" si="8"/>
        <v>-2.4629910671492494</v>
      </c>
      <c r="K33" s="3"/>
      <c r="L33" s="50" t="s">
        <v>4</v>
      </c>
      <c r="M33" s="51"/>
      <c r="N33" s="52">
        <f t="shared" ca="1" si="13"/>
        <v>-0.48518904435352328</v>
      </c>
      <c r="O33" s="53"/>
      <c r="P33" s="53"/>
      <c r="Q33" s="53"/>
      <c r="R33" s="54"/>
      <c r="T33" s="84">
        <f ca="1">$Q$40*EXP(-((A33-$Q$42)^2)/(2*$Q$41*$Q$41))</f>
        <v>0.34023955120355065</v>
      </c>
    </row>
    <row r="34" spans="1:29" ht="15.75" thickBot="1" x14ac:dyDescent="0.3">
      <c r="A34" s="82">
        <f t="shared" si="9"/>
        <v>1.6000000000000003</v>
      </c>
      <c r="B34" s="81">
        <f t="shared" ca="1" si="0"/>
        <v>0.33403730045319402</v>
      </c>
      <c r="C34" s="87">
        <f t="shared" ca="1" si="1"/>
        <v>5.6000000000000001E-2</v>
      </c>
      <c r="D34" s="81">
        <f t="shared" si="2"/>
        <v>0.27803730045319403</v>
      </c>
      <c r="E34" s="19">
        <f t="shared" ca="1" si="3"/>
        <v>-1.0965026142373857</v>
      </c>
      <c r="F34" s="19">
        <f t="shared" si="4"/>
        <v>2.5600000000000009</v>
      </c>
      <c r="G34" s="19">
        <f t="shared" si="5"/>
        <v>4.0960000000000019</v>
      </c>
      <c r="H34" s="19">
        <f t="shared" si="6"/>
        <v>6.5536000000000048</v>
      </c>
      <c r="I34" s="19">
        <f t="shared" ca="1" si="7"/>
        <v>-1.7544041827798176</v>
      </c>
      <c r="J34" s="20">
        <f t="shared" ca="1" si="8"/>
        <v>-2.8070466924477087</v>
      </c>
      <c r="K34" s="3"/>
      <c r="L34" s="3"/>
      <c r="T34" s="84">
        <f ca="1">$Q$40*EXP(-((A34-$Q$42)^2)/(2*$Q$41*$Q$41))</f>
        <v>0.29310913049918874</v>
      </c>
    </row>
    <row r="35" spans="1:29" x14ac:dyDescent="0.25">
      <c r="A35" s="3"/>
      <c r="B35" s="4"/>
      <c r="C35" s="4"/>
      <c r="D35" s="4"/>
      <c r="E35" s="3"/>
      <c r="F35" s="3"/>
      <c r="G35" s="3"/>
      <c r="H35" s="3"/>
      <c r="I35" s="3"/>
      <c r="J35" s="3"/>
      <c r="K35" s="3"/>
      <c r="L35" s="70" t="s">
        <v>33</v>
      </c>
      <c r="M35" s="70"/>
      <c r="N35" s="70"/>
      <c r="O35" s="70"/>
      <c r="P35" s="70"/>
      <c r="Q35" s="70"/>
      <c r="R35" s="70"/>
      <c r="S35" s="70"/>
      <c r="T35" s="70"/>
      <c r="U35" s="70"/>
      <c r="V35" s="70"/>
      <c r="W35" s="70"/>
      <c r="X35" s="70"/>
    </row>
    <row r="36" spans="1:29" x14ac:dyDescent="0.25">
      <c r="A36" s="17">
        <f>COUNTIF(A1:A34,"&lt;100000000000000")</f>
        <v>33</v>
      </c>
      <c r="B36" s="17" t="s">
        <v>12</v>
      </c>
      <c r="C36" s="17"/>
      <c r="D36" s="17"/>
      <c r="E36" s="17"/>
      <c r="F36" s="17"/>
      <c r="G36" s="17"/>
      <c r="H36" s="17"/>
      <c r="I36" s="17"/>
      <c r="J36" s="17"/>
      <c r="K36" s="3"/>
      <c r="L36" s="70" t="s">
        <v>32</v>
      </c>
      <c r="M36" s="70"/>
      <c r="N36" s="70"/>
      <c r="O36" s="70"/>
      <c r="P36" s="70"/>
      <c r="Q36" s="70"/>
      <c r="R36" s="70"/>
      <c r="S36" s="70"/>
      <c r="T36" s="70"/>
      <c r="U36" s="70"/>
      <c r="V36" s="70"/>
      <c r="W36" s="70"/>
      <c r="X36" s="70"/>
    </row>
    <row r="37" spans="1:29" x14ac:dyDescent="0.25">
      <c r="A37" s="17">
        <f t="shared" ref="A37" si="14">SUM(A2:A34)</f>
        <v>4.4408920985006262E-15</v>
      </c>
      <c r="B37" s="17" t="s">
        <v>15</v>
      </c>
      <c r="C37" s="17">
        <f t="shared" ref="C37:J37" ca="1" si="15">SUM(C2:C34)</f>
        <v>0.19400000000000006</v>
      </c>
      <c r="D37" s="17"/>
      <c r="E37" s="17">
        <f t="shared" ca="1" si="15"/>
        <v>-14.714363053375157</v>
      </c>
      <c r="F37" s="17">
        <f>SUM(F2:F34)</f>
        <v>29.919999999999998</v>
      </c>
      <c r="G37" s="17">
        <f>SUM(G2:G34)</f>
        <v>7.9936057773011271E-15</v>
      </c>
      <c r="H37" s="17">
        <f>SUM(H2:H34)</f>
        <v>48.769599999999997</v>
      </c>
      <c r="I37" s="17">
        <f ca="1">SUM(I2:I34)</f>
        <v>0.39005823650603944</v>
      </c>
      <c r="J37" s="17">
        <f t="shared" ca="1" si="15"/>
        <v>-23.84154849149834</v>
      </c>
      <c r="K37" s="3"/>
      <c r="L37" s="3"/>
    </row>
    <row r="38" spans="1:29" x14ac:dyDescent="0.25">
      <c r="A38" s="3"/>
      <c r="B38" s="3"/>
      <c r="C38" s="67"/>
      <c r="D38" s="67"/>
      <c r="E38" s="3"/>
      <c r="F38" s="3"/>
      <c r="G38" s="3"/>
      <c r="H38" s="3"/>
      <c r="I38" s="3"/>
      <c r="J38" s="3"/>
      <c r="K38" s="3"/>
      <c r="L38" s="3"/>
    </row>
    <row r="39" spans="1:29" ht="15" customHeight="1" x14ac:dyDescent="0.25">
      <c r="A39" s="88" t="s">
        <v>29</v>
      </c>
      <c r="B39" s="88" t="s">
        <v>30</v>
      </c>
      <c r="P39" s="3" t="s">
        <v>24</v>
      </c>
      <c r="T39" s="71" t="s">
        <v>42</v>
      </c>
      <c r="U39" s="71"/>
      <c r="V39" s="71"/>
      <c r="W39" s="71"/>
      <c r="X39" s="71"/>
      <c r="Y39" s="71"/>
      <c r="Z39" s="71"/>
      <c r="AA39" s="71"/>
      <c r="AB39" s="71"/>
      <c r="AC39" s="71"/>
    </row>
    <row r="40" spans="1:29" ht="15" customHeight="1" x14ac:dyDescent="0.25">
      <c r="A40" s="89" t="s">
        <v>0</v>
      </c>
      <c r="B40" s="89">
        <v>1</v>
      </c>
      <c r="C40" s="75"/>
      <c r="D40" s="75"/>
      <c r="P40" s="9" t="s">
        <v>34</v>
      </c>
      <c r="Q40" s="9">
        <f ca="1">EXP(N31-N32*N32/(4*N33))</f>
        <v>0.99411987196987028</v>
      </c>
      <c r="T40" s="71"/>
      <c r="U40" s="71"/>
      <c r="V40" s="71"/>
      <c r="W40" s="71"/>
      <c r="X40" s="71"/>
      <c r="Y40" s="71"/>
      <c r="Z40" s="71"/>
      <c r="AA40" s="71"/>
      <c r="AB40" s="71"/>
      <c r="AC40" s="71"/>
    </row>
    <row r="41" spans="1:29" ht="15" customHeight="1" x14ac:dyDescent="0.25">
      <c r="A41" s="90" t="s">
        <v>13</v>
      </c>
      <c r="B41" s="89">
        <v>1</v>
      </c>
      <c r="C41" s="75"/>
      <c r="D41" s="75"/>
      <c r="P41" s="10" t="s">
        <v>35</v>
      </c>
      <c r="Q41" s="9">
        <f ca="1">SQRT((-1/(2*N33)))</f>
        <v>1.0151483410460709</v>
      </c>
      <c r="T41" s="71"/>
      <c r="U41" s="71"/>
      <c r="V41" s="71"/>
      <c r="W41" s="71"/>
      <c r="X41" s="71"/>
      <c r="Y41" s="71"/>
      <c r="Z41" s="71"/>
      <c r="AA41" s="71"/>
      <c r="AB41" s="71"/>
      <c r="AC41" s="71"/>
    </row>
    <row r="42" spans="1:29" ht="15" customHeight="1" x14ac:dyDescent="0.25">
      <c r="A42" s="90" t="s">
        <v>14</v>
      </c>
      <c r="B42" s="89">
        <v>0</v>
      </c>
      <c r="C42" s="75"/>
      <c r="D42" s="75"/>
      <c r="L42" s="2"/>
      <c r="M42" s="2"/>
      <c r="P42" s="10" t="s">
        <v>36</v>
      </c>
      <c r="Q42" s="9">
        <f ca="1">-N32/(2*N33)</f>
        <v>1.3434666257712715E-2</v>
      </c>
      <c r="T42" s="71"/>
      <c r="U42" s="71"/>
      <c r="V42" s="71"/>
      <c r="W42" s="71"/>
      <c r="X42" s="71"/>
      <c r="Y42" s="71"/>
      <c r="Z42" s="71"/>
      <c r="AA42" s="71"/>
      <c r="AB42" s="71"/>
      <c r="AC42" s="71"/>
    </row>
    <row r="43" spans="1:29" ht="15" customHeight="1" x14ac:dyDescent="0.25">
      <c r="A43" s="91"/>
      <c r="B43" s="91"/>
      <c r="C43" s="76"/>
      <c r="D43" s="76"/>
      <c r="T43" s="71"/>
      <c r="U43" s="71"/>
      <c r="V43" s="71"/>
      <c r="W43" s="71"/>
      <c r="X43" s="71"/>
      <c r="Y43" s="71"/>
      <c r="Z43" s="71"/>
      <c r="AA43" s="71"/>
      <c r="AB43" s="71"/>
      <c r="AC43" s="71"/>
    </row>
    <row r="44" spans="1:29" ht="15" customHeight="1" x14ac:dyDescent="0.25">
      <c r="A44" s="90" t="s">
        <v>43</v>
      </c>
      <c r="B44" s="92">
        <v>100</v>
      </c>
      <c r="C44" s="77"/>
      <c r="D44" s="77"/>
      <c r="T44" s="71"/>
      <c r="U44" s="71"/>
      <c r="V44" s="71"/>
      <c r="W44" s="71"/>
      <c r="X44" s="71"/>
      <c r="Y44" s="71"/>
      <c r="Z44" s="71"/>
      <c r="AA44" s="71"/>
      <c r="AB44" s="71"/>
      <c r="AC44" s="71"/>
    </row>
    <row r="45" spans="1:29" ht="15" customHeight="1" x14ac:dyDescent="0.25">
      <c r="T45" s="71"/>
      <c r="U45" s="71"/>
      <c r="V45" s="71"/>
      <c r="W45" s="71"/>
      <c r="X45" s="71"/>
      <c r="Y45" s="71"/>
      <c r="Z45" s="71"/>
      <c r="AA45" s="71"/>
      <c r="AB45" s="71"/>
      <c r="AC45" s="71"/>
    </row>
    <row r="46" spans="1:29" ht="15" customHeight="1" x14ac:dyDescent="0.25">
      <c r="T46" s="71"/>
      <c r="U46" s="71"/>
      <c r="V46" s="71"/>
      <c r="W46" s="71"/>
      <c r="X46" s="71"/>
      <c r="Y46" s="71"/>
      <c r="Z46" s="71"/>
      <c r="AA46" s="71"/>
      <c r="AB46" s="71"/>
      <c r="AC46" s="71"/>
    </row>
  </sheetData>
  <mergeCells count="4">
    <mergeCell ref="L2:P2"/>
    <mergeCell ref="L35:X35"/>
    <mergeCell ref="L36:X36"/>
    <mergeCell ref="T39:AC4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FWHM Centre horizontal 1</vt:lpstr>
      <vt:lpstr>FWHM mesurée</vt:lpstr>
      <vt:lpstr>Validation sur modèle de Gauss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FOURCADE MARJOLAINE</dc:creator>
  <cp:lastModifiedBy>MARIANO GOULART DENIS</cp:lastModifiedBy>
  <dcterms:created xsi:type="dcterms:W3CDTF">2026-01-19T16:33:50Z</dcterms:created>
  <dcterms:modified xsi:type="dcterms:W3CDTF">2026-03-16T14:25:26Z</dcterms:modified>
</cp:coreProperties>
</file>